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2.ปี 2567\01. รายงานแผนงาน-ผลงาน ปี 67\2.ข้อมูล Export จาก Google Sheet\1. 15 ธ.ค. 66\"/>
    </mc:Choice>
  </mc:AlternateContent>
  <xr:revisionPtr revIDLastSave="0" documentId="13_ncr:1_{0636A208-2A65-4035-9488-4AFC805671E4}" xr6:coauthVersionLast="37" xr6:coauthVersionMax="37" xr10:uidLastSave="{00000000-0000-0000-0000-000000000000}"/>
  <bookViews>
    <workbookView xWindow="0" yWindow="0" windowWidth="24000" windowHeight="9525" firstSheet="6" activeTab="16" xr2:uid="{00000000-000D-0000-FFFF-FFFF00000000}"/>
  </bookViews>
  <sheets>
    <sheet name="กำแพงเพชร" sheetId="1" r:id="rId1"/>
    <sheet name="เชียงราย" sheetId="2" r:id="rId2"/>
    <sheet name="เชียงใหม่" sheetId="3" r:id="rId3"/>
    <sheet name="ตาก" sheetId="4" r:id="rId4"/>
    <sheet name="นครสวรรค์" sheetId="5" r:id="rId5"/>
    <sheet name="น่าน" sheetId="6" r:id="rId6"/>
    <sheet name="พะเยา" sheetId="7" r:id="rId7"/>
    <sheet name="พิจิตร" sheetId="8" r:id="rId8"/>
    <sheet name="พิษณุโลก" sheetId="9" r:id="rId9"/>
    <sheet name="เพชรบูรณ์" sheetId="10" r:id="rId10"/>
    <sheet name="แพร่" sheetId="11" r:id="rId11"/>
    <sheet name="แม่ฮ่องสอน" sheetId="12" r:id="rId12"/>
    <sheet name="ลำปาง" sheetId="13" r:id="rId13"/>
    <sheet name="ลำพูน" sheetId="14" r:id="rId14"/>
    <sheet name="สุโขทัย" sheetId="15" r:id="rId15"/>
    <sheet name="อุตรดิตถ์" sheetId="16" r:id="rId16"/>
    <sheet name="อุทัยธานี" sheetId="17" r:id="rId17"/>
  </sheets>
  <definedNames>
    <definedName name="_xlnm.Print_Titles" localSheetId="0">กำแพงเพชร!$1:$6</definedName>
    <definedName name="_xlnm.Print_Titles" localSheetId="1">เชียงราย!$1:$6</definedName>
    <definedName name="_xlnm.Print_Titles" localSheetId="2">เชียงใหม่!$1:$6</definedName>
    <definedName name="_xlnm.Print_Titles" localSheetId="3">ตาก!$1:$6</definedName>
    <definedName name="_xlnm.Print_Titles" localSheetId="4">นครสวรรค์!$1:$6</definedName>
    <definedName name="_xlnm.Print_Titles" localSheetId="5">น่าน!$1:$6</definedName>
    <definedName name="_xlnm.Print_Titles" localSheetId="6">พะเยา!$1:$6</definedName>
    <definedName name="_xlnm.Print_Titles" localSheetId="7">พิจิตร!$1:$6</definedName>
    <definedName name="_xlnm.Print_Titles" localSheetId="8">พิษณุโลก!$1:$6</definedName>
    <definedName name="_xlnm.Print_Titles" localSheetId="9">เพชรบูรณ์!$1:$6</definedName>
    <definedName name="_xlnm.Print_Titles" localSheetId="10">แพร่!$1:$6</definedName>
    <definedName name="_xlnm.Print_Titles" localSheetId="11">แม่ฮ่องสอน!$1:$6</definedName>
    <definedName name="_xlnm.Print_Titles" localSheetId="12">ลำปาง!$1:$6</definedName>
    <definedName name="_xlnm.Print_Titles" localSheetId="13">ลำพูน!$1:$6</definedName>
    <definedName name="_xlnm.Print_Titles" localSheetId="14">สุโขทัย!$1:$6</definedName>
    <definedName name="_xlnm.Print_Titles" localSheetId="15">อุตรดิตถ์!$1:$6</definedName>
    <definedName name="_xlnm.Print_Titles" localSheetId="16">อุทัยธานี!$1:$6</definedName>
  </definedNames>
  <calcPr calcId="179021"/>
</workbook>
</file>

<file path=xl/calcChain.xml><?xml version="1.0" encoding="utf-8"?>
<calcChain xmlns="http://schemas.openxmlformats.org/spreadsheetml/2006/main">
  <c r="L22" i="17" l="1"/>
  <c r="M22" i="17"/>
  <c r="P22" i="17" s="1"/>
  <c r="N22" i="17"/>
  <c r="L25" i="17"/>
  <c r="O25" i="17" s="1"/>
  <c r="M25" i="17"/>
  <c r="M19" i="17" s="1"/>
  <c r="N25" i="17"/>
  <c r="L45" i="17"/>
  <c r="M45" i="17"/>
  <c r="P45" i="17" s="1"/>
  <c r="N45" i="17"/>
  <c r="O45" i="17"/>
  <c r="O48" i="17"/>
  <c r="P48" i="17"/>
  <c r="L49" i="17"/>
  <c r="L47" i="17" s="1"/>
  <c r="M49" i="17"/>
  <c r="M47" i="17" s="1"/>
  <c r="N49" i="17"/>
  <c r="N47" i="17" s="1"/>
  <c r="O51" i="17"/>
  <c r="P51" i="17"/>
  <c r="L52" i="17"/>
  <c r="L50" i="17" s="1"/>
  <c r="O50" i="17" s="1"/>
  <c r="M52" i="17"/>
  <c r="P52" i="17" s="1"/>
  <c r="N52" i="17"/>
  <c r="L60" i="17"/>
  <c r="M60" i="17"/>
  <c r="P60" i="17" s="1"/>
  <c r="N60" i="17"/>
  <c r="O63" i="17"/>
  <c r="P63" i="17"/>
  <c r="L64" i="17"/>
  <c r="L62" i="17" s="1"/>
  <c r="M64" i="17"/>
  <c r="N64" i="17"/>
  <c r="O66" i="17"/>
  <c r="P66" i="17"/>
  <c r="L67" i="17"/>
  <c r="L65" i="17" s="1"/>
  <c r="O65" i="17" s="1"/>
  <c r="M67" i="17"/>
  <c r="N67" i="17"/>
  <c r="N65" i="17" s="1"/>
  <c r="L73" i="17"/>
  <c r="M73" i="17"/>
  <c r="P73" i="17" s="1"/>
  <c r="N73" i="17"/>
  <c r="O73" i="17"/>
  <c r="O76" i="17"/>
  <c r="P76" i="17"/>
  <c r="L77" i="17"/>
  <c r="L75" i="17" s="1"/>
  <c r="M77" i="17"/>
  <c r="N77" i="17"/>
  <c r="N75" i="17" s="1"/>
  <c r="O79" i="17"/>
  <c r="P79" i="17"/>
  <c r="L80" i="17"/>
  <c r="L78" i="17" s="1"/>
  <c r="O78" i="17" s="1"/>
  <c r="M80" i="17"/>
  <c r="M78" i="17" s="1"/>
  <c r="P78" i="17" s="1"/>
  <c r="N80" i="17"/>
  <c r="N78" i="17" s="1"/>
  <c r="J82" i="17"/>
  <c r="J70" i="17" s="1"/>
  <c r="J83" i="17"/>
  <c r="J71" i="17" s="1"/>
  <c r="I84" i="17"/>
  <c r="K84" i="17" s="1"/>
  <c r="I85" i="17"/>
  <c r="I86" i="17"/>
  <c r="K86" i="17" s="1"/>
  <c r="I87" i="17"/>
  <c r="K87" i="17" s="1"/>
  <c r="I88" i="17"/>
  <c r="K88" i="17" s="1"/>
  <c r="I89" i="17"/>
  <c r="K89" i="17" s="1"/>
  <c r="I90" i="17"/>
  <c r="K90" i="17" s="1"/>
  <c r="J92" i="17"/>
  <c r="J93" i="17"/>
  <c r="L95" i="17"/>
  <c r="M95" i="17"/>
  <c r="P95" i="17" s="1"/>
  <c r="N95" i="17"/>
  <c r="O98" i="17"/>
  <c r="P98" i="17"/>
  <c r="L99" i="17"/>
  <c r="L97" i="17" s="1"/>
  <c r="O97" i="17" s="1"/>
  <c r="M99" i="17"/>
  <c r="M97" i="17" s="1"/>
  <c r="P97" i="17" s="1"/>
  <c r="N99" i="17"/>
  <c r="O101" i="17"/>
  <c r="P101" i="17"/>
  <c r="L102" i="17"/>
  <c r="L100" i="17" s="1"/>
  <c r="O100" i="17" s="1"/>
  <c r="M102" i="17"/>
  <c r="M100" i="17" s="1"/>
  <c r="P100" i="17" s="1"/>
  <c r="N102" i="17"/>
  <c r="N100" i="17" s="1"/>
  <c r="I108" i="17"/>
  <c r="I109" i="17"/>
  <c r="K109" i="17" s="1"/>
  <c r="I117" i="17"/>
  <c r="K117" i="17" s="1"/>
  <c r="L126" i="17"/>
  <c r="O126" i="17" s="1"/>
  <c r="M126" i="17"/>
  <c r="N126" i="17"/>
  <c r="O129" i="17"/>
  <c r="P129" i="17"/>
  <c r="L130" i="17"/>
  <c r="O130" i="17" s="1"/>
  <c r="M130" i="17"/>
  <c r="M128" i="17" s="1"/>
  <c r="P128" i="17" s="1"/>
  <c r="N130" i="17"/>
  <c r="N128" i="17" s="1"/>
  <c r="O132" i="17"/>
  <c r="P132" i="17"/>
  <c r="L133" i="17"/>
  <c r="O133" i="17" s="1"/>
  <c r="M133" i="17"/>
  <c r="M131" i="17" s="1"/>
  <c r="P131" i="17" s="1"/>
  <c r="N133" i="17"/>
  <c r="N131" i="17" s="1"/>
  <c r="J136" i="17"/>
  <c r="J137" i="17"/>
  <c r="J138" i="17"/>
  <c r="L140" i="17"/>
  <c r="O140" i="17" s="1"/>
  <c r="M140" i="17"/>
  <c r="N140" i="17"/>
  <c r="O143" i="17"/>
  <c r="P143" i="17"/>
  <c r="L144" i="17"/>
  <c r="M144" i="17"/>
  <c r="M142" i="17" s="1"/>
  <c r="N144" i="17"/>
  <c r="N142" i="17" s="1"/>
  <c r="O146" i="17"/>
  <c r="P146" i="17"/>
  <c r="L147" i="17"/>
  <c r="M147" i="17"/>
  <c r="M145" i="17" s="1"/>
  <c r="P145" i="17" s="1"/>
  <c r="N147" i="17"/>
  <c r="N145" i="17" s="1"/>
  <c r="I150" i="17"/>
  <c r="K150" i="17" s="1"/>
  <c r="I151" i="17"/>
  <c r="K151" i="17" s="1"/>
  <c r="I152" i="17"/>
  <c r="I137" i="17" s="1"/>
  <c r="K137" i="17" s="1"/>
  <c r="I153" i="17"/>
  <c r="I138" i="17" s="1"/>
  <c r="K138" i="17" s="1"/>
  <c r="I154" i="17"/>
  <c r="I136" i="17" s="1"/>
  <c r="K136" i="17" s="1"/>
  <c r="J156" i="17"/>
  <c r="L158" i="17"/>
  <c r="M158" i="17"/>
  <c r="N158" i="17"/>
  <c r="O161" i="17"/>
  <c r="P161" i="17"/>
  <c r="L162" i="17"/>
  <c r="M162" i="17"/>
  <c r="M160" i="17" s="1"/>
  <c r="P160" i="17" s="1"/>
  <c r="N162" i="17"/>
  <c r="N160" i="17" s="1"/>
  <c r="O164" i="17"/>
  <c r="P164" i="17"/>
  <c r="L165" i="17"/>
  <c r="M165" i="17"/>
  <c r="P165" i="17" s="1"/>
  <c r="N165" i="17"/>
  <c r="I167" i="17"/>
  <c r="I156" i="17" s="1"/>
  <c r="J172" i="17"/>
  <c r="L174" i="17"/>
  <c r="M174" i="17"/>
  <c r="N174" i="17"/>
  <c r="O177" i="17"/>
  <c r="P177" i="17"/>
  <c r="L178" i="17"/>
  <c r="M178" i="17"/>
  <c r="M176" i="17" s="1"/>
  <c r="N178" i="17"/>
  <c r="N176" i="17" s="1"/>
  <c r="O180" i="17"/>
  <c r="P180" i="17"/>
  <c r="L181" i="17"/>
  <c r="M181" i="17"/>
  <c r="P181" i="17" s="1"/>
  <c r="N181" i="17"/>
  <c r="N179" i="17" s="1"/>
  <c r="I183" i="17"/>
  <c r="I172" i="17" s="1"/>
  <c r="K184" i="17"/>
  <c r="L187" i="17"/>
  <c r="M187" i="17"/>
  <c r="P187" i="17" s="1"/>
  <c r="N187" i="17"/>
  <c r="O190" i="17"/>
  <c r="P190" i="17"/>
  <c r="L191" i="17"/>
  <c r="L189" i="17" s="1"/>
  <c r="M191" i="17"/>
  <c r="M189" i="17" s="1"/>
  <c r="N191" i="17"/>
  <c r="O193" i="17"/>
  <c r="P193" i="17"/>
  <c r="L194" i="17"/>
  <c r="L192" i="17" s="1"/>
  <c r="O192" i="17" s="1"/>
  <c r="M194" i="17"/>
  <c r="M192" i="17" s="1"/>
  <c r="P192" i="17" s="1"/>
  <c r="N194" i="17"/>
  <c r="N192" i="17" s="1"/>
  <c r="J195" i="17"/>
  <c r="L196" i="17"/>
  <c r="O196" i="17" s="1"/>
  <c r="P196" i="17"/>
  <c r="I198" i="17"/>
  <c r="K198" i="17" s="1"/>
  <c r="J199" i="17"/>
  <c r="J202" i="17"/>
  <c r="N203" i="17"/>
  <c r="P203" i="17"/>
  <c r="L204" i="17"/>
  <c r="L205" i="17"/>
  <c r="L206" i="17"/>
  <c r="L207" i="17"/>
  <c r="I209" i="17"/>
  <c r="I211" i="17"/>
  <c r="K211" i="17" s="1"/>
  <c r="I212" i="17"/>
  <c r="K212" i="17" s="1"/>
  <c r="J213" i="17"/>
  <c r="N214" i="17"/>
  <c r="P214" i="17"/>
  <c r="L215" i="17"/>
  <c r="L216" i="17"/>
  <c r="L217" i="17"/>
  <c r="I219" i="17"/>
  <c r="K219" i="17" s="1"/>
  <c r="I220" i="17"/>
  <c r="K220" i="17" s="1"/>
  <c r="J221" i="17"/>
  <c r="N222" i="17"/>
  <c r="P222" i="17"/>
  <c r="L223" i="17"/>
  <c r="L224" i="17"/>
  <c r="L225" i="17"/>
  <c r="I228" i="17"/>
  <c r="K228" i="17" s="1"/>
  <c r="I229" i="17"/>
  <c r="I221" i="17" s="1"/>
  <c r="K221" i="17" s="1"/>
  <c r="I230" i="17"/>
  <c r="K230" i="17" s="1"/>
  <c r="J231" i="17"/>
  <c r="J185" i="17" s="1"/>
  <c r="N233" i="17"/>
  <c r="N234" i="17"/>
  <c r="N235" i="17"/>
  <c r="N236" i="17"/>
  <c r="J238" i="17"/>
  <c r="I240" i="17"/>
  <c r="J240" i="17"/>
  <c r="K240" i="17"/>
  <c r="I241" i="17"/>
  <c r="J241" i="17"/>
  <c r="K241" i="17"/>
  <c r="J242" i="17"/>
  <c r="N243" i="17"/>
  <c r="N232" i="17" s="1"/>
  <c r="P243" i="17"/>
  <c r="L244" i="17"/>
  <c r="L245" i="17"/>
  <c r="L246" i="17"/>
  <c r="L247" i="17"/>
  <c r="I249" i="17"/>
  <c r="K251" i="17"/>
  <c r="K252" i="17"/>
  <c r="J253" i="17"/>
  <c r="N254" i="17"/>
  <c r="P254" i="17"/>
  <c r="L255" i="17"/>
  <c r="L256" i="17"/>
  <c r="L257" i="17"/>
  <c r="L258" i="17"/>
  <c r="I260" i="17"/>
  <c r="I253" i="17" s="1"/>
  <c r="K253" i="17" s="1"/>
  <c r="K262" i="17"/>
  <c r="K263" i="17"/>
  <c r="I265" i="17"/>
  <c r="K265" i="17" s="1"/>
  <c r="J265" i="17"/>
  <c r="L267" i="17"/>
  <c r="M267" i="17"/>
  <c r="N267" i="17"/>
  <c r="O270" i="17"/>
  <c r="P270" i="17"/>
  <c r="L271" i="17"/>
  <c r="M271" i="17"/>
  <c r="M269" i="17" s="1"/>
  <c r="P269" i="17" s="1"/>
  <c r="N271" i="17"/>
  <c r="O273" i="17"/>
  <c r="P273" i="17"/>
  <c r="L274" i="17"/>
  <c r="L272" i="17" s="1"/>
  <c r="O272" i="17" s="1"/>
  <c r="M274" i="17"/>
  <c r="M272" i="17" s="1"/>
  <c r="P272" i="17" s="1"/>
  <c r="N274" i="17"/>
  <c r="N272" i="17" s="1"/>
  <c r="J281" i="17"/>
  <c r="L283" i="17"/>
  <c r="O283" i="17" s="1"/>
  <c r="M283" i="17"/>
  <c r="N283" i="17"/>
  <c r="O286" i="17"/>
  <c r="P286" i="17"/>
  <c r="L287" i="17"/>
  <c r="M287" i="17"/>
  <c r="M285" i="17" s="1"/>
  <c r="N287" i="17"/>
  <c r="N285" i="17" s="1"/>
  <c r="O289" i="17"/>
  <c r="P289" i="17"/>
  <c r="L290" i="17"/>
  <c r="O290" i="17" s="1"/>
  <c r="M290" i="17"/>
  <c r="P290" i="17" s="1"/>
  <c r="N290" i="17"/>
  <c r="N288" i="17" s="1"/>
  <c r="I292" i="17"/>
  <c r="I281" i="17" s="1"/>
  <c r="I293" i="17"/>
  <c r="I280" i="17" s="1"/>
  <c r="K280" i="17" s="1"/>
  <c r="J293" i="17"/>
  <c r="J280" i="17" s="1"/>
  <c r="I295" i="17"/>
  <c r="K295" i="17" s="1"/>
  <c r="I296" i="17"/>
  <c r="K296" i="17" s="1"/>
  <c r="J302" i="17"/>
  <c r="L304" i="17"/>
  <c r="M304" i="17"/>
  <c r="N304" i="17"/>
  <c r="O307" i="17"/>
  <c r="P307" i="17"/>
  <c r="L308" i="17"/>
  <c r="L306" i="17" s="1"/>
  <c r="M308" i="17"/>
  <c r="M306" i="17" s="1"/>
  <c r="N308" i="17"/>
  <c r="N306" i="17" s="1"/>
  <c r="O310" i="17"/>
  <c r="P310" i="17"/>
  <c r="L311" i="17"/>
  <c r="L309" i="17" s="1"/>
  <c r="O309" i="17" s="1"/>
  <c r="M311" i="17"/>
  <c r="M309" i="17" s="1"/>
  <c r="P309" i="17" s="1"/>
  <c r="N311" i="17"/>
  <c r="N309" i="17" s="1"/>
  <c r="I314" i="17"/>
  <c r="K314" i="17" s="1"/>
  <c r="I315" i="17"/>
  <c r="K315" i="17" s="1"/>
  <c r="I316" i="17"/>
  <c r="K316" i="17" s="1"/>
  <c r="I317" i="17"/>
  <c r="K317" i="17" s="1"/>
  <c r="J319" i="17"/>
  <c r="L321" i="17"/>
  <c r="O321" i="17" s="1"/>
  <c r="M321" i="17"/>
  <c r="N321" i="17"/>
  <c r="O324" i="17"/>
  <c r="P324" i="17"/>
  <c r="L325" i="17"/>
  <c r="M325" i="17"/>
  <c r="N325" i="17"/>
  <c r="N323" i="17" s="1"/>
  <c r="O327" i="17"/>
  <c r="P327" i="17"/>
  <c r="L328" i="17"/>
  <c r="O328" i="17" s="1"/>
  <c r="M328" i="17"/>
  <c r="P328" i="17" s="1"/>
  <c r="N328" i="17"/>
  <c r="N326" i="17" s="1"/>
  <c r="I330" i="17"/>
  <c r="K330" i="17" s="1"/>
  <c r="L334" i="17"/>
  <c r="O334" i="17" s="1"/>
  <c r="M334" i="17"/>
  <c r="N334" i="17"/>
  <c r="P334" i="17"/>
  <c r="O337" i="17"/>
  <c r="P337" i="17"/>
  <c r="L338" i="17"/>
  <c r="M338" i="17"/>
  <c r="M336" i="17" s="1"/>
  <c r="N338" i="17"/>
  <c r="N336" i="17" s="1"/>
  <c r="O340" i="17"/>
  <c r="P340" i="17"/>
  <c r="L341" i="17"/>
  <c r="L339" i="17" s="1"/>
  <c r="O339" i="17" s="1"/>
  <c r="M341" i="17"/>
  <c r="M339" i="17" s="1"/>
  <c r="P339" i="17" s="1"/>
  <c r="N341" i="17"/>
  <c r="N339" i="17" s="1"/>
  <c r="I344" i="17"/>
  <c r="I332" i="17" s="1"/>
  <c r="J344" i="17"/>
  <c r="I346" i="17"/>
  <c r="J346" i="17"/>
  <c r="J347" i="17"/>
  <c r="J348" i="17"/>
  <c r="J349" i="17"/>
  <c r="D350" i="17"/>
  <c r="J352" i="17"/>
  <c r="J353" i="17"/>
  <c r="D354" i="17"/>
  <c r="L357" i="17"/>
  <c r="O357" i="17" s="1"/>
  <c r="M357" i="17"/>
  <c r="N357" i="17"/>
  <c r="P357" i="17"/>
  <c r="O360" i="17"/>
  <c r="P360" i="17"/>
  <c r="L361" i="17"/>
  <c r="M361" i="17"/>
  <c r="M359" i="17" s="1"/>
  <c r="N361" i="17"/>
  <c r="N359" i="17" s="1"/>
  <c r="O363" i="17"/>
  <c r="P363" i="17"/>
  <c r="L364" i="17"/>
  <c r="L362" i="17" s="1"/>
  <c r="O362" i="17" s="1"/>
  <c r="M364" i="17"/>
  <c r="M362" i="17" s="1"/>
  <c r="P362" i="17" s="1"/>
  <c r="N364" i="17"/>
  <c r="N362" i="17" s="1"/>
  <c r="J367" i="17"/>
  <c r="K367" i="17"/>
  <c r="I368" i="17"/>
  <c r="J368" i="17"/>
  <c r="I369" i="17"/>
  <c r="J369" i="17"/>
  <c r="J370" i="17"/>
  <c r="K370" i="17"/>
  <c r="I371" i="17"/>
  <c r="I365" i="17" s="1"/>
  <c r="J371" i="17"/>
  <c r="J365" i="17" s="1"/>
  <c r="J372" i="17"/>
  <c r="K372" i="17"/>
  <c r="D373" i="17"/>
  <c r="I376" i="17"/>
  <c r="J376" i="17"/>
  <c r="K376" i="17"/>
  <c r="L378" i="17"/>
  <c r="O378" i="17" s="1"/>
  <c r="M378" i="17"/>
  <c r="P378" i="17" s="1"/>
  <c r="N378" i="17"/>
  <c r="O381" i="17"/>
  <c r="P381" i="17"/>
  <c r="L382" i="17"/>
  <c r="L380" i="17" s="1"/>
  <c r="O380" i="17" s="1"/>
  <c r="M382" i="17"/>
  <c r="M380" i="17" s="1"/>
  <c r="P380" i="17" s="1"/>
  <c r="N382" i="17"/>
  <c r="N380" i="17" s="1"/>
  <c r="O384" i="17"/>
  <c r="P384" i="17"/>
  <c r="L385" i="17"/>
  <c r="L383" i="17" s="1"/>
  <c r="O383" i="17" s="1"/>
  <c r="M385" i="17"/>
  <c r="M383" i="17" s="1"/>
  <c r="P383" i="17" s="1"/>
  <c r="N385" i="17"/>
  <c r="N383" i="17" s="1"/>
  <c r="K387" i="17"/>
  <c r="K388" i="17"/>
  <c r="A391" i="17"/>
  <c r="L22" i="16"/>
  <c r="M22" i="16"/>
  <c r="N22" i="16"/>
  <c r="O22" i="16"/>
  <c r="L25" i="16"/>
  <c r="M25" i="16"/>
  <c r="P25" i="16" s="1"/>
  <c r="N25" i="16"/>
  <c r="L45" i="16"/>
  <c r="O45" i="16" s="1"/>
  <c r="M45" i="16"/>
  <c r="P45" i="16" s="1"/>
  <c r="N45" i="16"/>
  <c r="O48" i="16"/>
  <c r="P48" i="16"/>
  <c r="L49" i="16"/>
  <c r="L47" i="16" s="1"/>
  <c r="M49" i="16"/>
  <c r="M47" i="16" s="1"/>
  <c r="N49" i="16"/>
  <c r="O51" i="16"/>
  <c r="P51" i="16"/>
  <c r="L52" i="16"/>
  <c r="L50" i="16" s="1"/>
  <c r="O50" i="16" s="1"/>
  <c r="M52" i="16"/>
  <c r="P52" i="16" s="1"/>
  <c r="N52" i="16"/>
  <c r="N50" i="16" s="1"/>
  <c r="L60" i="16"/>
  <c r="M60" i="16"/>
  <c r="P60" i="16" s="1"/>
  <c r="N60" i="16"/>
  <c r="O63" i="16"/>
  <c r="P63" i="16"/>
  <c r="L64" i="16"/>
  <c r="M64" i="16"/>
  <c r="N64" i="16"/>
  <c r="N62" i="16" s="1"/>
  <c r="O66" i="16"/>
  <c r="P66" i="16"/>
  <c r="L67" i="16"/>
  <c r="M67" i="16"/>
  <c r="P67" i="16" s="1"/>
  <c r="N67" i="16"/>
  <c r="N65" i="16" s="1"/>
  <c r="J70" i="16"/>
  <c r="L73" i="16"/>
  <c r="M73" i="16"/>
  <c r="P73" i="16" s="1"/>
  <c r="N73" i="16"/>
  <c r="O73" i="16"/>
  <c r="O76" i="16"/>
  <c r="P76" i="16"/>
  <c r="L77" i="16"/>
  <c r="L75" i="16" s="1"/>
  <c r="O75" i="16" s="1"/>
  <c r="M77" i="16"/>
  <c r="M75" i="16" s="1"/>
  <c r="P75" i="16" s="1"/>
  <c r="N77" i="16"/>
  <c r="N75" i="16" s="1"/>
  <c r="O79" i="16"/>
  <c r="P79" i="16"/>
  <c r="L80" i="16"/>
  <c r="L78" i="16" s="1"/>
  <c r="O78" i="16" s="1"/>
  <c r="M80" i="16"/>
  <c r="M78" i="16" s="1"/>
  <c r="P78" i="16" s="1"/>
  <c r="N80" i="16"/>
  <c r="N78" i="16" s="1"/>
  <c r="J82" i="16"/>
  <c r="J83" i="16"/>
  <c r="J71" i="16" s="1"/>
  <c r="I84" i="16"/>
  <c r="K84" i="16" s="1"/>
  <c r="I85" i="16"/>
  <c r="I86" i="16"/>
  <c r="K86" i="16" s="1"/>
  <c r="I87" i="16"/>
  <c r="K87" i="16" s="1"/>
  <c r="I88" i="16"/>
  <c r="K88" i="16" s="1"/>
  <c r="I89" i="16"/>
  <c r="K89" i="16" s="1"/>
  <c r="I90" i="16"/>
  <c r="K90" i="16" s="1"/>
  <c r="J92" i="16"/>
  <c r="J93" i="16"/>
  <c r="L95" i="16"/>
  <c r="O95" i="16" s="1"/>
  <c r="M95" i="16"/>
  <c r="P95" i="16" s="1"/>
  <c r="N95" i="16"/>
  <c r="O98" i="16"/>
  <c r="P98" i="16"/>
  <c r="L99" i="16"/>
  <c r="L97" i="16" s="1"/>
  <c r="O97" i="16" s="1"/>
  <c r="M99" i="16"/>
  <c r="M97" i="16" s="1"/>
  <c r="P97" i="16" s="1"/>
  <c r="N99" i="16"/>
  <c r="N97" i="16" s="1"/>
  <c r="O101" i="16"/>
  <c r="P101" i="16"/>
  <c r="L102" i="16"/>
  <c r="O102" i="16" s="1"/>
  <c r="M102" i="16"/>
  <c r="M100" i="16" s="1"/>
  <c r="P100" i="16" s="1"/>
  <c r="N102" i="16"/>
  <c r="N100" i="16" s="1"/>
  <c r="I108" i="16"/>
  <c r="I109" i="16"/>
  <c r="K109" i="16" s="1"/>
  <c r="I117" i="16"/>
  <c r="K117" i="16" s="1"/>
  <c r="L126" i="16"/>
  <c r="O126" i="16" s="1"/>
  <c r="M126" i="16"/>
  <c r="N126" i="16"/>
  <c r="O129" i="16"/>
  <c r="P129" i="16"/>
  <c r="L130" i="16"/>
  <c r="O130" i="16" s="1"/>
  <c r="M130" i="16"/>
  <c r="N130" i="16"/>
  <c r="N128" i="16" s="1"/>
  <c r="O132" i="16"/>
  <c r="P132" i="16"/>
  <c r="L133" i="16"/>
  <c r="L131" i="16" s="1"/>
  <c r="O131" i="16" s="1"/>
  <c r="M133" i="16"/>
  <c r="N133" i="16"/>
  <c r="N131" i="16" s="1"/>
  <c r="J136" i="16"/>
  <c r="J137" i="16"/>
  <c r="J138" i="16"/>
  <c r="L140" i="16"/>
  <c r="O140" i="16" s="1"/>
  <c r="M140" i="16"/>
  <c r="N140" i="16"/>
  <c r="O143" i="16"/>
  <c r="P143" i="16"/>
  <c r="L144" i="16"/>
  <c r="L142" i="16" s="1"/>
  <c r="M144" i="16"/>
  <c r="N144" i="16"/>
  <c r="O146" i="16"/>
  <c r="P146" i="16"/>
  <c r="L147" i="16"/>
  <c r="L145" i="16" s="1"/>
  <c r="O145" i="16" s="1"/>
  <c r="M147" i="16"/>
  <c r="N147" i="16"/>
  <c r="N145" i="16" s="1"/>
  <c r="I150" i="16"/>
  <c r="K150" i="16" s="1"/>
  <c r="I151" i="16"/>
  <c r="K151" i="16" s="1"/>
  <c r="I152" i="16"/>
  <c r="I137" i="16" s="1"/>
  <c r="K137" i="16" s="1"/>
  <c r="I153" i="16"/>
  <c r="I138" i="16" s="1"/>
  <c r="K138" i="16" s="1"/>
  <c r="I154" i="16"/>
  <c r="I136" i="16" s="1"/>
  <c r="J156" i="16"/>
  <c r="L158" i="16"/>
  <c r="M158" i="16"/>
  <c r="N158" i="16"/>
  <c r="O158" i="16"/>
  <c r="P158" i="16"/>
  <c r="O161" i="16"/>
  <c r="P161" i="16"/>
  <c r="L162" i="16"/>
  <c r="L160" i="16" s="1"/>
  <c r="O160" i="16" s="1"/>
  <c r="M162" i="16"/>
  <c r="M160" i="16" s="1"/>
  <c r="P160" i="16" s="1"/>
  <c r="N162" i="16"/>
  <c r="N160" i="16" s="1"/>
  <c r="O164" i="16"/>
  <c r="P164" i="16"/>
  <c r="L165" i="16"/>
  <c r="L163" i="16" s="1"/>
  <c r="O163" i="16" s="1"/>
  <c r="M165" i="16"/>
  <c r="M163" i="16" s="1"/>
  <c r="P163" i="16" s="1"/>
  <c r="N165" i="16"/>
  <c r="N163" i="16" s="1"/>
  <c r="I167" i="16"/>
  <c r="K167" i="16" s="1"/>
  <c r="I168" i="16"/>
  <c r="K168" i="16" s="1"/>
  <c r="I169" i="16"/>
  <c r="I156" i="16" s="1"/>
  <c r="K156" i="16" s="1"/>
  <c r="J172" i="16"/>
  <c r="L174" i="16"/>
  <c r="O174" i="16" s="1"/>
  <c r="M174" i="16"/>
  <c r="P174" i="16" s="1"/>
  <c r="N174" i="16"/>
  <c r="O177" i="16"/>
  <c r="P177" i="16"/>
  <c r="L178" i="16"/>
  <c r="L176" i="16" s="1"/>
  <c r="M178" i="16"/>
  <c r="M176" i="16" s="1"/>
  <c r="N178" i="16"/>
  <c r="N176" i="16" s="1"/>
  <c r="O180" i="16"/>
  <c r="P180" i="16"/>
  <c r="L181" i="16"/>
  <c r="L179" i="16" s="1"/>
  <c r="O179" i="16" s="1"/>
  <c r="M181" i="16"/>
  <c r="M179" i="16" s="1"/>
  <c r="P179" i="16" s="1"/>
  <c r="N181" i="16"/>
  <c r="N179" i="16" s="1"/>
  <c r="I183" i="16"/>
  <c r="I172" i="16" s="1"/>
  <c r="K172" i="16" s="1"/>
  <c r="K184" i="16"/>
  <c r="L187" i="16"/>
  <c r="M187" i="16"/>
  <c r="P187" i="16" s="1"/>
  <c r="N187" i="16"/>
  <c r="O190" i="16"/>
  <c r="P190" i="16"/>
  <c r="L191" i="16"/>
  <c r="M191" i="16"/>
  <c r="M189" i="16" s="1"/>
  <c r="N191" i="16"/>
  <c r="O193" i="16"/>
  <c r="P193" i="16"/>
  <c r="L194" i="16"/>
  <c r="M194" i="16"/>
  <c r="P194" i="16" s="1"/>
  <c r="N194" i="16"/>
  <c r="N192" i="16" s="1"/>
  <c r="J195" i="16"/>
  <c r="L196" i="16"/>
  <c r="O196" i="16" s="1"/>
  <c r="P196" i="16"/>
  <c r="I198" i="16"/>
  <c r="I195" i="16" s="1"/>
  <c r="J199" i="16"/>
  <c r="J202" i="16"/>
  <c r="N203" i="16"/>
  <c r="P203" i="16"/>
  <c r="L204" i="16"/>
  <c r="L205" i="16"/>
  <c r="L206" i="16"/>
  <c r="L207" i="16"/>
  <c r="I209" i="16"/>
  <c r="I211" i="16"/>
  <c r="K211" i="16" s="1"/>
  <c r="I212" i="16"/>
  <c r="K212" i="16" s="1"/>
  <c r="J213" i="16"/>
  <c r="N214" i="16"/>
  <c r="P214" i="16"/>
  <c r="L215" i="16"/>
  <c r="L216" i="16"/>
  <c r="L217" i="16"/>
  <c r="I219" i="16"/>
  <c r="K219" i="16" s="1"/>
  <c r="I220" i="16"/>
  <c r="K220" i="16" s="1"/>
  <c r="J221" i="16"/>
  <c r="N222" i="16"/>
  <c r="P222" i="16"/>
  <c r="L223" i="16"/>
  <c r="L224" i="16"/>
  <c r="L225" i="16"/>
  <c r="I228" i="16"/>
  <c r="K228" i="16" s="1"/>
  <c r="I229" i="16"/>
  <c r="I221" i="16" s="1"/>
  <c r="K221" i="16" s="1"/>
  <c r="I230" i="16"/>
  <c r="K230" i="16" s="1"/>
  <c r="N233" i="16"/>
  <c r="N234" i="16"/>
  <c r="N235" i="16"/>
  <c r="N236" i="16"/>
  <c r="J238" i="16"/>
  <c r="I240" i="16"/>
  <c r="J240" i="16"/>
  <c r="K240" i="16"/>
  <c r="I241" i="16"/>
  <c r="J241" i="16"/>
  <c r="K241" i="16"/>
  <c r="J242" i="16"/>
  <c r="N243" i="16"/>
  <c r="P243" i="16"/>
  <c r="L244" i="16"/>
  <c r="L245" i="16"/>
  <c r="L246" i="16"/>
  <c r="L247" i="16"/>
  <c r="I249" i="16"/>
  <c r="K251" i="16"/>
  <c r="K252" i="16"/>
  <c r="J253" i="16"/>
  <c r="N254" i="16"/>
  <c r="P254" i="16"/>
  <c r="L255" i="16"/>
  <c r="L256" i="16"/>
  <c r="L257" i="16"/>
  <c r="L258" i="16"/>
  <c r="I260" i="16"/>
  <c r="K262" i="16"/>
  <c r="K263" i="16"/>
  <c r="I265" i="16"/>
  <c r="K265" i="16" s="1"/>
  <c r="J265" i="16"/>
  <c r="L267" i="16"/>
  <c r="M267" i="16"/>
  <c r="P267" i="16" s="1"/>
  <c r="N267" i="16"/>
  <c r="O270" i="16"/>
  <c r="P270" i="16"/>
  <c r="L271" i="16"/>
  <c r="M271" i="16"/>
  <c r="P271" i="16" s="1"/>
  <c r="N271" i="16"/>
  <c r="N269" i="16" s="1"/>
  <c r="O273" i="16"/>
  <c r="P273" i="16"/>
  <c r="L274" i="16"/>
  <c r="M274" i="16"/>
  <c r="P274" i="16" s="1"/>
  <c r="N274" i="16"/>
  <c r="N272" i="16" s="1"/>
  <c r="J281" i="16"/>
  <c r="L283" i="16"/>
  <c r="O283" i="16" s="1"/>
  <c r="M283" i="16"/>
  <c r="P283" i="16" s="1"/>
  <c r="N283" i="16"/>
  <c r="O286" i="16"/>
  <c r="P286" i="16"/>
  <c r="L287" i="16"/>
  <c r="L285" i="16" s="1"/>
  <c r="M287" i="16"/>
  <c r="N287" i="16"/>
  <c r="N285" i="16" s="1"/>
  <c r="O289" i="16"/>
  <c r="P289" i="16"/>
  <c r="L290" i="16"/>
  <c r="L288" i="16" s="1"/>
  <c r="O288" i="16" s="1"/>
  <c r="M290" i="16"/>
  <c r="M288" i="16" s="1"/>
  <c r="P288" i="16" s="1"/>
  <c r="N290" i="16"/>
  <c r="N288" i="16" s="1"/>
  <c r="I292" i="16"/>
  <c r="I281" i="16" s="1"/>
  <c r="K281" i="16" s="1"/>
  <c r="I293" i="16"/>
  <c r="I280" i="16" s="1"/>
  <c r="J293" i="16"/>
  <c r="J280" i="16" s="1"/>
  <c r="I295" i="16"/>
  <c r="K295" i="16" s="1"/>
  <c r="I296" i="16"/>
  <c r="K296" i="16" s="1"/>
  <c r="J302" i="16"/>
  <c r="L304" i="16"/>
  <c r="O304" i="16" s="1"/>
  <c r="M304" i="16"/>
  <c r="P304" i="16" s="1"/>
  <c r="N304" i="16"/>
  <c r="O307" i="16"/>
  <c r="P307" i="16"/>
  <c r="L308" i="16"/>
  <c r="L306" i="16" s="1"/>
  <c r="M308" i="16"/>
  <c r="M306" i="16" s="1"/>
  <c r="N308" i="16"/>
  <c r="N306" i="16" s="1"/>
  <c r="O310" i="16"/>
  <c r="P310" i="16"/>
  <c r="L311" i="16"/>
  <c r="L309" i="16" s="1"/>
  <c r="O309" i="16" s="1"/>
  <c r="M311" i="16"/>
  <c r="M309" i="16" s="1"/>
  <c r="P309" i="16" s="1"/>
  <c r="N311" i="16"/>
  <c r="N309" i="16" s="1"/>
  <c r="I314" i="16"/>
  <c r="I302" i="16" s="1"/>
  <c r="K302" i="16" s="1"/>
  <c r="I315" i="16"/>
  <c r="K315" i="16" s="1"/>
  <c r="I316" i="16"/>
  <c r="K316" i="16" s="1"/>
  <c r="I317" i="16"/>
  <c r="K317" i="16" s="1"/>
  <c r="J319" i="16"/>
  <c r="L321" i="16"/>
  <c r="M321" i="16"/>
  <c r="N321" i="16"/>
  <c r="O321" i="16"/>
  <c r="P321" i="16"/>
  <c r="O324" i="16"/>
  <c r="P324" i="16"/>
  <c r="L325" i="16"/>
  <c r="O325" i="16" s="1"/>
  <c r="M325" i="16"/>
  <c r="M323" i="16" s="1"/>
  <c r="P323" i="16" s="1"/>
  <c r="N325" i="16"/>
  <c r="N323" i="16" s="1"/>
  <c r="O327" i="16"/>
  <c r="P327" i="16"/>
  <c r="L328" i="16"/>
  <c r="O328" i="16" s="1"/>
  <c r="M328" i="16"/>
  <c r="M326" i="16" s="1"/>
  <c r="P326" i="16" s="1"/>
  <c r="N328" i="16"/>
  <c r="N326" i="16" s="1"/>
  <c r="I330" i="16"/>
  <c r="I319" i="16" s="1"/>
  <c r="K319" i="16" s="1"/>
  <c r="L334" i="16"/>
  <c r="O334" i="16" s="1"/>
  <c r="M334" i="16"/>
  <c r="P334" i="16" s="1"/>
  <c r="N334" i="16"/>
  <c r="O337" i="16"/>
  <c r="P337" i="16"/>
  <c r="L338" i="16"/>
  <c r="L336" i="16" s="1"/>
  <c r="M338" i="16"/>
  <c r="N338" i="16"/>
  <c r="N336" i="16" s="1"/>
  <c r="O340" i="16"/>
  <c r="P340" i="16"/>
  <c r="L341" i="16"/>
  <c r="L339" i="16" s="1"/>
  <c r="O339" i="16" s="1"/>
  <c r="M341" i="16"/>
  <c r="P341" i="16" s="1"/>
  <c r="N341" i="16"/>
  <c r="N339" i="16" s="1"/>
  <c r="I344" i="16"/>
  <c r="J344" i="16"/>
  <c r="I346" i="16"/>
  <c r="J346" i="16"/>
  <c r="J347" i="16"/>
  <c r="J348" i="16"/>
  <c r="J349" i="16"/>
  <c r="D350" i="16"/>
  <c r="J352" i="16"/>
  <c r="J353" i="16"/>
  <c r="D354" i="16"/>
  <c r="L357" i="16"/>
  <c r="M357" i="16"/>
  <c r="P357" i="16" s="1"/>
  <c r="N357" i="16"/>
  <c r="O357" i="16"/>
  <c r="O360" i="16"/>
  <c r="P360" i="16"/>
  <c r="L361" i="16"/>
  <c r="M361" i="16"/>
  <c r="N361" i="16"/>
  <c r="N359" i="16" s="1"/>
  <c r="O363" i="16"/>
  <c r="P363" i="16"/>
  <c r="L364" i="16"/>
  <c r="O364" i="16" s="1"/>
  <c r="M364" i="16"/>
  <c r="P364" i="16" s="1"/>
  <c r="N364" i="16"/>
  <c r="N362" i="16" s="1"/>
  <c r="J367" i="16"/>
  <c r="K367" i="16"/>
  <c r="I368" i="16"/>
  <c r="J368" i="16"/>
  <c r="I369" i="16"/>
  <c r="J369" i="16"/>
  <c r="J370" i="16"/>
  <c r="K370" i="16"/>
  <c r="I371" i="16"/>
  <c r="J371" i="16"/>
  <c r="J365" i="16" s="1"/>
  <c r="J372" i="16"/>
  <c r="K372" i="16"/>
  <c r="D373" i="16"/>
  <c r="I376" i="16"/>
  <c r="K376" i="16" s="1"/>
  <c r="J376" i="16"/>
  <c r="L378" i="16"/>
  <c r="O378" i="16" s="1"/>
  <c r="M378" i="16"/>
  <c r="N378" i="16"/>
  <c r="P378" i="16"/>
  <c r="O381" i="16"/>
  <c r="P381" i="16"/>
  <c r="L382" i="16"/>
  <c r="M382" i="16"/>
  <c r="M380" i="16" s="1"/>
  <c r="P380" i="16" s="1"/>
  <c r="N382" i="16"/>
  <c r="N380" i="16" s="1"/>
  <c r="O384" i="16"/>
  <c r="P384" i="16"/>
  <c r="L385" i="16"/>
  <c r="O385" i="16" s="1"/>
  <c r="M385" i="16"/>
  <c r="M383" i="16" s="1"/>
  <c r="P383" i="16" s="1"/>
  <c r="N385" i="16"/>
  <c r="N383" i="16" s="1"/>
  <c r="K387" i="16"/>
  <c r="K388" i="16"/>
  <c r="A391" i="16"/>
  <c r="L22" i="15"/>
  <c r="M22" i="15"/>
  <c r="N22" i="15"/>
  <c r="P22" i="15"/>
  <c r="L25" i="15"/>
  <c r="O25" i="15" s="1"/>
  <c r="M25" i="15"/>
  <c r="N25" i="15"/>
  <c r="L45" i="15"/>
  <c r="M45" i="15"/>
  <c r="P45" i="15" s="1"/>
  <c r="N45" i="15"/>
  <c r="O45" i="15"/>
  <c r="O48" i="15"/>
  <c r="P48" i="15"/>
  <c r="L49" i="15"/>
  <c r="L47" i="15" s="1"/>
  <c r="M49" i="15"/>
  <c r="M47" i="15" s="1"/>
  <c r="N49" i="15"/>
  <c r="N47" i="15" s="1"/>
  <c r="O51" i="15"/>
  <c r="P51" i="15"/>
  <c r="L52" i="15"/>
  <c r="L50" i="15" s="1"/>
  <c r="O50" i="15" s="1"/>
  <c r="M52" i="15"/>
  <c r="P52" i="15" s="1"/>
  <c r="N52" i="15"/>
  <c r="L60" i="15"/>
  <c r="M60" i="15"/>
  <c r="N60" i="15"/>
  <c r="P60" i="15"/>
  <c r="O63" i="15"/>
  <c r="P63" i="15"/>
  <c r="L64" i="15"/>
  <c r="L62" i="15" s="1"/>
  <c r="M64" i="15"/>
  <c r="N64" i="15"/>
  <c r="O66" i="15"/>
  <c r="P66" i="15"/>
  <c r="L67" i="15"/>
  <c r="L65" i="15" s="1"/>
  <c r="O65" i="15" s="1"/>
  <c r="M67" i="15"/>
  <c r="N67" i="15"/>
  <c r="N65" i="15" s="1"/>
  <c r="L73" i="15"/>
  <c r="O73" i="15" s="1"/>
  <c r="M73" i="15"/>
  <c r="P73" i="15" s="1"/>
  <c r="N73" i="15"/>
  <c r="O76" i="15"/>
  <c r="P76" i="15"/>
  <c r="L77" i="15"/>
  <c r="L75" i="15" s="1"/>
  <c r="O75" i="15" s="1"/>
  <c r="M77" i="15"/>
  <c r="M75" i="15" s="1"/>
  <c r="P75" i="15" s="1"/>
  <c r="N77" i="15"/>
  <c r="N75" i="15" s="1"/>
  <c r="O79" i="15"/>
  <c r="P79" i="15"/>
  <c r="L80" i="15"/>
  <c r="L78" i="15" s="1"/>
  <c r="O78" i="15" s="1"/>
  <c r="M80" i="15"/>
  <c r="M78" i="15" s="1"/>
  <c r="P78" i="15" s="1"/>
  <c r="N80" i="15"/>
  <c r="N78" i="15" s="1"/>
  <c r="J82" i="15"/>
  <c r="J70" i="15" s="1"/>
  <c r="J83" i="15"/>
  <c r="J71" i="15" s="1"/>
  <c r="I84" i="15"/>
  <c r="K84" i="15" s="1"/>
  <c r="I85" i="15"/>
  <c r="I86" i="15"/>
  <c r="K86" i="15" s="1"/>
  <c r="I87" i="15"/>
  <c r="K87" i="15" s="1"/>
  <c r="I88" i="15"/>
  <c r="K88" i="15" s="1"/>
  <c r="I89" i="15"/>
  <c r="K89" i="15" s="1"/>
  <c r="I90" i="15"/>
  <c r="K90" i="15" s="1"/>
  <c r="J92" i="15"/>
  <c r="J93" i="15"/>
  <c r="L95" i="15"/>
  <c r="M95" i="15"/>
  <c r="N95" i="15"/>
  <c r="P95" i="15"/>
  <c r="O98" i="15"/>
  <c r="P98" i="15"/>
  <c r="L99" i="15"/>
  <c r="M99" i="15"/>
  <c r="M97" i="15" s="1"/>
  <c r="P97" i="15" s="1"/>
  <c r="N99" i="15"/>
  <c r="N97" i="15" s="1"/>
  <c r="O101" i="15"/>
  <c r="P101" i="15"/>
  <c r="L102" i="15"/>
  <c r="O102" i="15" s="1"/>
  <c r="M102" i="15"/>
  <c r="M100" i="15" s="1"/>
  <c r="P100" i="15" s="1"/>
  <c r="N102" i="15"/>
  <c r="N100" i="15" s="1"/>
  <c r="I108" i="15"/>
  <c r="I109" i="15"/>
  <c r="K109" i="15" s="1"/>
  <c r="I117" i="15"/>
  <c r="K117" i="15" s="1"/>
  <c r="L126" i="15"/>
  <c r="M126" i="15"/>
  <c r="N126" i="15"/>
  <c r="O126" i="15"/>
  <c r="O129" i="15"/>
  <c r="P129" i="15"/>
  <c r="L130" i="15"/>
  <c r="O130" i="15" s="1"/>
  <c r="M130" i="15"/>
  <c r="M128" i="15" s="1"/>
  <c r="P128" i="15" s="1"/>
  <c r="N130" i="15"/>
  <c r="N128" i="15" s="1"/>
  <c r="O132" i="15"/>
  <c r="P132" i="15"/>
  <c r="L133" i="15"/>
  <c r="O133" i="15" s="1"/>
  <c r="M133" i="15"/>
  <c r="M131" i="15" s="1"/>
  <c r="P131" i="15" s="1"/>
  <c r="N133" i="15"/>
  <c r="N131" i="15" s="1"/>
  <c r="J136" i="15"/>
  <c r="J137" i="15"/>
  <c r="J138" i="15"/>
  <c r="L140" i="15"/>
  <c r="O140" i="15" s="1"/>
  <c r="M140" i="15"/>
  <c r="N140" i="15"/>
  <c r="O143" i="15"/>
  <c r="P143" i="15"/>
  <c r="L144" i="15"/>
  <c r="O144" i="15" s="1"/>
  <c r="M144" i="15"/>
  <c r="N144" i="15"/>
  <c r="N142" i="15" s="1"/>
  <c r="O146" i="15"/>
  <c r="P146" i="15"/>
  <c r="L147" i="15"/>
  <c r="O147" i="15" s="1"/>
  <c r="M147" i="15"/>
  <c r="M145" i="15" s="1"/>
  <c r="P145" i="15" s="1"/>
  <c r="N147" i="15"/>
  <c r="N145" i="15" s="1"/>
  <c r="I150" i="15"/>
  <c r="K150" i="15" s="1"/>
  <c r="I151" i="15"/>
  <c r="K151" i="15" s="1"/>
  <c r="I152" i="15"/>
  <c r="I137" i="15" s="1"/>
  <c r="K137" i="15" s="1"/>
  <c r="I153" i="15"/>
  <c r="I138" i="15" s="1"/>
  <c r="K138" i="15" s="1"/>
  <c r="I154" i="15"/>
  <c r="I136" i="15" s="1"/>
  <c r="K136" i="15" s="1"/>
  <c r="J156" i="15"/>
  <c r="L158" i="15"/>
  <c r="O158" i="15" s="1"/>
  <c r="M158" i="15"/>
  <c r="P158" i="15" s="1"/>
  <c r="N158" i="15"/>
  <c r="O161" i="15"/>
  <c r="P161" i="15"/>
  <c r="L162" i="15"/>
  <c r="L160" i="15" s="1"/>
  <c r="M162" i="15"/>
  <c r="N162" i="15"/>
  <c r="N160" i="15" s="1"/>
  <c r="O164" i="15"/>
  <c r="P164" i="15"/>
  <c r="L165" i="15"/>
  <c r="L163" i="15" s="1"/>
  <c r="O163" i="15" s="1"/>
  <c r="M165" i="15"/>
  <c r="M163" i="15" s="1"/>
  <c r="P163" i="15" s="1"/>
  <c r="N165" i="15"/>
  <c r="N163" i="15" s="1"/>
  <c r="I167" i="15"/>
  <c r="I156" i="15" s="1"/>
  <c r="J172" i="15"/>
  <c r="L174" i="15"/>
  <c r="O174" i="15" s="1"/>
  <c r="M174" i="15"/>
  <c r="P174" i="15" s="1"/>
  <c r="N174" i="15"/>
  <c r="O177" i="15"/>
  <c r="P177" i="15"/>
  <c r="L178" i="15"/>
  <c r="L176" i="15" s="1"/>
  <c r="M178" i="15"/>
  <c r="M176" i="15" s="1"/>
  <c r="N178" i="15"/>
  <c r="N176" i="15" s="1"/>
  <c r="O180" i="15"/>
  <c r="P180" i="15"/>
  <c r="L181" i="15"/>
  <c r="L179" i="15" s="1"/>
  <c r="O179" i="15" s="1"/>
  <c r="M181" i="15"/>
  <c r="M179" i="15" s="1"/>
  <c r="P179" i="15" s="1"/>
  <c r="N181" i="15"/>
  <c r="N179" i="15" s="1"/>
  <c r="I183" i="15"/>
  <c r="I172" i="15" s="1"/>
  <c r="K172" i="15" s="1"/>
  <c r="K184" i="15"/>
  <c r="L187" i="15"/>
  <c r="M187" i="15"/>
  <c r="N187" i="15"/>
  <c r="P187" i="15"/>
  <c r="O190" i="15"/>
  <c r="P190" i="15"/>
  <c r="L191" i="15"/>
  <c r="M191" i="15"/>
  <c r="N191" i="15"/>
  <c r="N189" i="15" s="1"/>
  <c r="O193" i="15"/>
  <c r="P193" i="15"/>
  <c r="L194" i="15"/>
  <c r="O194" i="15" s="1"/>
  <c r="M194" i="15"/>
  <c r="N194" i="15"/>
  <c r="N192" i="15" s="1"/>
  <c r="J195" i="15"/>
  <c r="L196" i="15"/>
  <c r="O196" i="15" s="1"/>
  <c r="P196" i="15"/>
  <c r="I198" i="15"/>
  <c r="I195" i="15" s="1"/>
  <c r="K195" i="15" s="1"/>
  <c r="J199" i="15"/>
  <c r="J202" i="15"/>
  <c r="N203" i="15"/>
  <c r="P203" i="15"/>
  <c r="L204" i="15"/>
  <c r="L205" i="15"/>
  <c r="L206" i="15"/>
  <c r="L207" i="15"/>
  <c r="I209" i="15"/>
  <c r="I211" i="15"/>
  <c r="K211" i="15" s="1"/>
  <c r="I212" i="15"/>
  <c r="K212" i="15" s="1"/>
  <c r="J213" i="15"/>
  <c r="N214" i="15"/>
  <c r="P214" i="15"/>
  <c r="L215" i="15"/>
  <c r="L216" i="15"/>
  <c r="L217" i="15"/>
  <c r="I219" i="15"/>
  <c r="K219" i="15" s="1"/>
  <c r="I220" i="15"/>
  <c r="K220" i="15" s="1"/>
  <c r="J221" i="15"/>
  <c r="N222" i="15"/>
  <c r="P222" i="15"/>
  <c r="L223" i="15"/>
  <c r="L224" i="15"/>
  <c r="L225" i="15"/>
  <c r="I228" i="15"/>
  <c r="K228" i="15" s="1"/>
  <c r="I229" i="15"/>
  <c r="I221" i="15" s="1"/>
  <c r="K221" i="15" s="1"/>
  <c r="I230" i="15"/>
  <c r="N233" i="15"/>
  <c r="N234" i="15"/>
  <c r="N235" i="15"/>
  <c r="N236" i="15"/>
  <c r="J238" i="15"/>
  <c r="I240" i="15"/>
  <c r="J240" i="15"/>
  <c r="K240" i="15"/>
  <c r="I241" i="15"/>
  <c r="J241" i="15"/>
  <c r="K241" i="15"/>
  <c r="J242" i="15"/>
  <c r="N243" i="15"/>
  <c r="P243" i="15"/>
  <c r="L244" i="15"/>
  <c r="L245" i="15"/>
  <c r="L246" i="15"/>
  <c r="L247" i="15"/>
  <c r="I249" i="15"/>
  <c r="I242" i="15" s="1"/>
  <c r="K242" i="15" s="1"/>
  <c r="K251" i="15"/>
  <c r="K252" i="15"/>
  <c r="J253" i="15"/>
  <c r="J231" i="15" s="1"/>
  <c r="J185" i="15" s="1"/>
  <c r="N254" i="15"/>
  <c r="P254" i="15"/>
  <c r="L255" i="15"/>
  <c r="L256" i="15"/>
  <c r="L257" i="15"/>
  <c r="L258" i="15"/>
  <c r="I260" i="15"/>
  <c r="K262" i="15"/>
  <c r="K263" i="15"/>
  <c r="I265" i="15"/>
  <c r="J265" i="15"/>
  <c r="K265" i="15"/>
  <c r="L267" i="15"/>
  <c r="M267" i="15"/>
  <c r="N267" i="15"/>
  <c r="P267" i="15"/>
  <c r="O270" i="15"/>
  <c r="P270" i="15"/>
  <c r="L271" i="15"/>
  <c r="L269" i="15" s="1"/>
  <c r="O269" i="15" s="1"/>
  <c r="M271" i="15"/>
  <c r="N271" i="15"/>
  <c r="N269" i="15" s="1"/>
  <c r="O273" i="15"/>
  <c r="P273" i="15"/>
  <c r="L274" i="15"/>
  <c r="L272" i="15" s="1"/>
  <c r="O272" i="15" s="1"/>
  <c r="M274" i="15"/>
  <c r="N274" i="15"/>
  <c r="N272" i="15" s="1"/>
  <c r="J281" i="15"/>
  <c r="L283" i="15"/>
  <c r="O283" i="15" s="1"/>
  <c r="M283" i="15"/>
  <c r="N283" i="15"/>
  <c r="O286" i="15"/>
  <c r="P286" i="15"/>
  <c r="L287" i="15"/>
  <c r="M287" i="15"/>
  <c r="M285" i="15" s="1"/>
  <c r="N287" i="15"/>
  <c r="N285" i="15" s="1"/>
  <c r="O289" i="15"/>
  <c r="P289" i="15"/>
  <c r="L290" i="15"/>
  <c r="O290" i="15" s="1"/>
  <c r="M290" i="15"/>
  <c r="P290" i="15" s="1"/>
  <c r="N290" i="15"/>
  <c r="N288" i="15" s="1"/>
  <c r="I292" i="15"/>
  <c r="I281" i="15" s="1"/>
  <c r="K281" i="15" s="1"/>
  <c r="I293" i="15"/>
  <c r="I280" i="15" s="1"/>
  <c r="J293" i="15"/>
  <c r="J280" i="15" s="1"/>
  <c r="I295" i="15"/>
  <c r="K295" i="15" s="1"/>
  <c r="I296" i="15"/>
  <c r="K296" i="15" s="1"/>
  <c r="J302" i="15"/>
  <c r="L304" i="15"/>
  <c r="M304" i="15"/>
  <c r="N304" i="15"/>
  <c r="O307" i="15"/>
  <c r="P307" i="15"/>
  <c r="L308" i="15"/>
  <c r="L306" i="15" s="1"/>
  <c r="O306" i="15" s="1"/>
  <c r="M308" i="15"/>
  <c r="M306" i="15" s="1"/>
  <c r="P306" i="15" s="1"/>
  <c r="N308" i="15"/>
  <c r="N306" i="15" s="1"/>
  <c r="O310" i="15"/>
  <c r="P310" i="15"/>
  <c r="L311" i="15"/>
  <c r="L309" i="15" s="1"/>
  <c r="O309" i="15" s="1"/>
  <c r="M311" i="15"/>
  <c r="M309" i="15" s="1"/>
  <c r="P309" i="15" s="1"/>
  <c r="N311" i="15"/>
  <c r="N309" i="15" s="1"/>
  <c r="I314" i="15"/>
  <c r="K314" i="15" s="1"/>
  <c r="I315" i="15"/>
  <c r="K315" i="15" s="1"/>
  <c r="I316" i="15"/>
  <c r="K316" i="15" s="1"/>
  <c r="I317" i="15"/>
  <c r="K317" i="15" s="1"/>
  <c r="J319" i="15"/>
  <c r="L321" i="15"/>
  <c r="O321" i="15" s="1"/>
  <c r="M321" i="15"/>
  <c r="N321" i="15"/>
  <c r="O324" i="15"/>
  <c r="P324" i="15"/>
  <c r="L325" i="15"/>
  <c r="O325" i="15" s="1"/>
  <c r="M325" i="15"/>
  <c r="P325" i="15" s="1"/>
  <c r="N325" i="15"/>
  <c r="N323" i="15" s="1"/>
  <c r="O327" i="15"/>
  <c r="P327" i="15"/>
  <c r="L328" i="15"/>
  <c r="O328" i="15" s="1"/>
  <c r="M328" i="15"/>
  <c r="P328" i="15" s="1"/>
  <c r="N328" i="15"/>
  <c r="N326" i="15" s="1"/>
  <c r="I330" i="15"/>
  <c r="I319" i="15" s="1"/>
  <c r="K319" i="15" s="1"/>
  <c r="L334" i="15"/>
  <c r="O334" i="15" s="1"/>
  <c r="M334" i="15"/>
  <c r="P334" i="15" s="1"/>
  <c r="N334" i="15"/>
  <c r="O337" i="15"/>
  <c r="P337" i="15"/>
  <c r="L338" i="15"/>
  <c r="L336" i="15" s="1"/>
  <c r="M338" i="15"/>
  <c r="M336" i="15" s="1"/>
  <c r="N338" i="15"/>
  <c r="N336" i="15" s="1"/>
  <c r="O340" i="15"/>
  <c r="P340" i="15"/>
  <c r="L341" i="15"/>
  <c r="L339" i="15" s="1"/>
  <c r="O339" i="15" s="1"/>
  <c r="M341" i="15"/>
  <c r="M339" i="15" s="1"/>
  <c r="P339" i="15" s="1"/>
  <c r="N341" i="15"/>
  <c r="N339" i="15" s="1"/>
  <c r="I344" i="15"/>
  <c r="I332" i="15" s="1"/>
  <c r="J344" i="15"/>
  <c r="I346" i="15"/>
  <c r="J346" i="15"/>
  <c r="J347" i="15"/>
  <c r="J348" i="15"/>
  <c r="J349" i="15"/>
  <c r="D350" i="15"/>
  <c r="J352" i="15"/>
  <c r="J353" i="15"/>
  <c r="D354" i="15"/>
  <c r="L357" i="15"/>
  <c r="M357" i="15"/>
  <c r="N357" i="15"/>
  <c r="O357" i="15"/>
  <c r="P357" i="15"/>
  <c r="O360" i="15"/>
  <c r="P360" i="15"/>
  <c r="L361" i="15"/>
  <c r="M361" i="15"/>
  <c r="M359" i="15" s="1"/>
  <c r="N361" i="15"/>
  <c r="N359" i="15" s="1"/>
  <c r="O363" i="15"/>
  <c r="P363" i="15"/>
  <c r="L364" i="15"/>
  <c r="L362" i="15" s="1"/>
  <c r="O362" i="15" s="1"/>
  <c r="M364" i="15"/>
  <c r="M362" i="15" s="1"/>
  <c r="P362" i="15" s="1"/>
  <c r="N364" i="15"/>
  <c r="N362" i="15" s="1"/>
  <c r="J367" i="15"/>
  <c r="K367" i="15"/>
  <c r="I368" i="15"/>
  <c r="J368" i="15"/>
  <c r="I369" i="15"/>
  <c r="J369" i="15"/>
  <c r="J370" i="15"/>
  <c r="K370" i="15"/>
  <c r="I371" i="15"/>
  <c r="J371" i="15"/>
  <c r="J365" i="15" s="1"/>
  <c r="J372" i="15"/>
  <c r="K372" i="15"/>
  <c r="D373" i="15"/>
  <c r="I376" i="15"/>
  <c r="K376" i="15" s="1"/>
  <c r="J376" i="15"/>
  <c r="L378" i="15"/>
  <c r="O378" i="15" s="1"/>
  <c r="M378" i="15"/>
  <c r="P378" i="15" s="1"/>
  <c r="N378" i="15"/>
  <c r="O381" i="15"/>
  <c r="P381" i="15"/>
  <c r="L382" i="15"/>
  <c r="L380" i="15" s="1"/>
  <c r="O380" i="15" s="1"/>
  <c r="M382" i="15"/>
  <c r="M380" i="15" s="1"/>
  <c r="P380" i="15" s="1"/>
  <c r="N382" i="15"/>
  <c r="O384" i="15"/>
  <c r="P384" i="15"/>
  <c r="L385" i="15"/>
  <c r="L383" i="15" s="1"/>
  <c r="O383" i="15" s="1"/>
  <c r="M385" i="15"/>
  <c r="M383" i="15" s="1"/>
  <c r="P383" i="15" s="1"/>
  <c r="N385" i="15"/>
  <c r="N383" i="15" s="1"/>
  <c r="K387" i="15"/>
  <c r="K388" i="15"/>
  <c r="A391" i="15"/>
  <c r="L22" i="14"/>
  <c r="M22" i="14"/>
  <c r="N22" i="14"/>
  <c r="P22" i="14"/>
  <c r="L25" i="14"/>
  <c r="O25" i="14" s="1"/>
  <c r="M25" i="14"/>
  <c r="N25" i="14"/>
  <c r="L45" i="14"/>
  <c r="M45" i="14"/>
  <c r="N45" i="14"/>
  <c r="O45" i="14"/>
  <c r="O48" i="14"/>
  <c r="P48" i="14"/>
  <c r="L49" i="14"/>
  <c r="M49" i="14"/>
  <c r="M47" i="14" s="1"/>
  <c r="N49" i="14"/>
  <c r="O51" i="14"/>
  <c r="P51" i="14"/>
  <c r="L52" i="14"/>
  <c r="M52" i="14"/>
  <c r="P52" i="14" s="1"/>
  <c r="N52" i="14"/>
  <c r="N50" i="14" s="1"/>
  <c r="L60" i="14"/>
  <c r="M60" i="14"/>
  <c r="N60" i="14"/>
  <c r="O60" i="14"/>
  <c r="P60" i="14"/>
  <c r="O63" i="14"/>
  <c r="P63" i="14"/>
  <c r="L64" i="14"/>
  <c r="M64" i="14"/>
  <c r="M62" i="14" s="1"/>
  <c r="N64" i="14"/>
  <c r="N62" i="14" s="1"/>
  <c r="O66" i="14"/>
  <c r="P66" i="14"/>
  <c r="L67" i="14"/>
  <c r="L65" i="14" s="1"/>
  <c r="O65" i="14" s="1"/>
  <c r="M67" i="14"/>
  <c r="M65" i="14" s="1"/>
  <c r="P65" i="14" s="1"/>
  <c r="N67" i="14"/>
  <c r="N65" i="14" s="1"/>
  <c r="L73" i="14"/>
  <c r="M73" i="14"/>
  <c r="N73" i="14"/>
  <c r="O73" i="14"/>
  <c r="O76" i="14"/>
  <c r="P76" i="14"/>
  <c r="L77" i="14"/>
  <c r="M77" i="14"/>
  <c r="N77" i="14"/>
  <c r="N75" i="14" s="1"/>
  <c r="O79" i="14"/>
  <c r="P79" i="14"/>
  <c r="L80" i="14"/>
  <c r="M80" i="14"/>
  <c r="N80" i="14"/>
  <c r="N78" i="14" s="1"/>
  <c r="J82" i="14"/>
  <c r="J70" i="14" s="1"/>
  <c r="J83" i="14"/>
  <c r="J71" i="14" s="1"/>
  <c r="I84" i="14"/>
  <c r="K84" i="14" s="1"/>
  <c r="I85" i="14"/>
  <c r="I86" i="14"/>
  <c r="K86" i="14" s="1"/>
  <c r="I87" i="14"/>
  <c r="K87" i="14" s="1"/>
  <c r="I88" i="14"/>
  <c r="K88" i="14" s="1"/>
  <c r="I89" i="14"/>
  <c r="K89" i="14" s="1"/>
  <c r="I90" i="14"/>
  <c r="K90" i="14" s="1"/>
  <c r="J92" i="14"/>
  <c r="J93" i="14"/>
  <c r="L95" i="14"/>
  <c r="O95" i="14" s="1"/>
  <c r="M95" i="14"/>
  <c r="P95" i="14" s="1"/>
  <c r="N95" i="14"/>
  <c r="O98" i="14"/>
  <c r="P98" i="14"/>
  <c r="L99" i="14"/>
  <c r="M99" i="14"/>
  <c r="N99" i="14"/>
  <c r="O101" i="14"/>
  <c r="P101" i="14"/>
  <c r="L102" i="14"/>
  <c r="L100" i="14" s="1"/>
  <c r="O100" i="14" s="1"/>
  <c r="M102" i="14"/>
  <c r="N102" i="14"/>
  <c r="N100" i="14" s="1"/>
  <c r="I108" i="14"/>
  <c r="I92" i="14" s="1"/>
  <c r="K92" i="14" s="1"/>
  <c r="I109" i="14"/>
  <c r="I93" i="14" s="1"/>
  <c r="K93" i="14" s="1"/>
  <c r="I117" i="14"/>
  <c r="K117" i="14" s="1"/>
  <c r="L126" i="14"/>
  <c r="M126" i="14"/>
  <c r="N126" i="14"/>
  <c r="O126" i="14"/>
  <c r="P126" i="14"/>
  <c r="O129" i="14"/>
  <c r="P129" i="14"/>
  <c r="L130" i="14"/>
  <c r="M130" i="14"/>
  <c r="M128" i="14" s="1"/>
  <c r="P128" i="14" s="1"/>
  <c r="N130" i="14"/>
  <c r="N128" i="14" s="1"/>
  <c r="O132" i="14"/>
  <c r="P132" i="14"/>
  <c r="L133" i="14"/>
  <c r="O133" i="14" s="1"/>
  <c r="M133" i="14"/>
  <c r="M131" i="14" s="1"/>
  <c r="P131" i="14" s="1"/>
  <c r="N133" i="14"/>
  <c r="N131" i="14" s="1"/>
  <c r="J136" i="14"/>
  <c r="J137" i="14"/>
  <c r="J138" i="14"/>
  <c r="L140" i="14"/>
  <c r="O140" i="14" s="1"/>
  <c r="M140" i="14"/>
  <c r="N140" i="14"/>
  <c r="P140" i="14"/>
  <c r="O143" i="14"/>
  <c r="P143" i="14"/>
  <c r="L144" i="14"/>
  <c r="L142" i="14" s="1"/>
  <c r="O142" i="14" s="1"/>
  <c r="M144" i="14"/>
  <c r="N144" i="14"/>
  <c r="N142" i="14" s="1"/>
  <c r="O146" i="14"/>
  <c r="P146" i="14"/>
  <c r="L147" i="14"/>
  <c r="L145" i="14" s="1"/>
  <c r="O145" i="14" s="1"/>
  <c r="M147" i="14"/>
  <c r="M145" i="14" s="1"/>
  <c r="P145" i="14" s="1"/>
  <c r="N147" i="14"/>
  <c r="N145" i="14" s="1"/>
  <c r="I150" i="14"/>
  <c r="K150" i="14" s="1"/>
  <c r="I151" i="14"/>
  <c r="K151" i="14" s="1"/>
  <c r="I152" i="14"/>
  <c r="K152" i="14" s="1"/>
  <c r="I153" i="14"/>
  <c r="I138" i="14" s="1"/>
  <c r="K138" i="14" s="1"/>
  <c r="I154" i="14"/>
  <c r="I136" i="14" s="1"/>
  <c r="K136" i="14" s="1"/>
  <c r="J156" i="14"/>
  <c r="L158" i="14"/>
  <c r="M158" i="14"/>
  <c r="N158" i="14"/>
  <c r="O158" i="14"/>
  <c r="P158" i="14"/>
  <c r="O161" i="14"/>
  <c r="P161" i="14"/>
  <c r="L162" i="14"/>
  <c r="M162" i="14"/>
  <c r="M160" i="14" s="1"/>
  <c r="P160" i="14" s="1"/>
  <c r="N162" i="14"/>
  <c r="N160" i="14" s="1"/>
  <c r="O164" i="14"/>
  <c r="P164" i="14"/>
  <c r="L165" i="14"/>
  <c r="O165" i="14" s="1"/>
  <c r="M165" i="14"/>
  <c r="P165" i="14" s="1"/>
  <c r="N165" i="14"/>
  <c r="N163" i="14" s="1"/>
  <c r="I167" i="14"/>
  <c r="I169" i="14" s="1"/>
  <c r="K169" i="14" s="1"/>
  <c r="J172" i="14"/>
  <c r="L174" i="14"/>
  <c r="M174" i="14"/>
  <c r="P174" i="14" s="1"/>
  <c r="N174" i="14"/>
  <c r="O174" i="14"/>
  <c r="O177" i="14"/>
  <c r="P177" i="14"/>
  <c r="L178" i="14"/>
  <c r="M178" i="14"/>
  <c r="M176" i="14" s="1"/>
  <c r="N178" i="14"/>
  <c r="N176" i="14" s="1"/>
  <c r="O180" i="14"/>
  <c r="P180" i="14"/>
  <c r="L181" i="14"/>
  <c r="O181" i="14" s="1"/>
  <c r="M181" i="14"/>
  <c r="P181" i="14" s="1"/>
  <c r="N181" i="14"/>
  <c r="N179" i="14" s="1"/>
  <c r="I183" i="14"/>
  <c r="I172" i="14" s="1"/>
  <c r="K184" i="14"/>
  <c r="L187" i="14"/>
  <c r="M187" i="14"/>
  <c r="N187" i="14"/>
  <c r="O187" i="14"/>
  <c r="O190" i="14"/>
  <c r="P190" i="14"/>
  <c r="L191" i="14"/>
  <c r="L189" i="14" s="1"/>
  <c r="M191" i="14"/>
  <c r="M189" i="14" s="1"/>
  <c r="N191" i="14"/>
  <c r="N189" i="14" s="1"/>
  <c r="O193" i="14"/>
  <c r="P193" i="14"/>
  <c r="L194" i="14"/>
  <c r="L192" i="14" s="1"/>
  <c r="O192" i="14" s="1"/>
  <c r="M194" i="14"/>
  <c r="M192" i="14" s="1"/>
  <c r="P192" i="14" s="1"/>
  <c r="N194" i="14"/>
  <c r="J195" i="14"/>
  <c r="L196" i="14"/>
  <c r="O196" i="14" s="1"/>
  <c r="P196" i="14"/>
  <c r="I198" i="14"/>
  <c r="K198" i="14" s="1"/>
  <c r="J199" i="14"/>
  <c r="J202" i="14"/>
  <c r="N203" i="14"/>
  <c r="P203" i="14"/>
  <c r="L204" i="14"/>
  <c r="L205" i="14"/>
  <c r="L206" i="14"/>
  <c r="L207" i="14"/>
  <c r="I209" i="14"/>
  <c r="I202" i="14" s="1"/>
  <c r="K202" i="14" s="1"/>
  <c r="I211" i="14"/>
  <c r="K211" i="14" s="1"/>
  <c r="I212" i="14"/>
  <c r="K212" i="14" s="1"/>
  <c r="J213" i="14"/>
  <c r="N214" i="14"/>
  <c r="P214" i="14"/>
  <c r="L215" i="14"/>
  <c r="L216" i="14"/>
  <c r="L217" i="14"/>
  <c r="I219" i="14"/>
  <c r="K219" i="14" s="1"/>
  <c r="I220" i="14"/>
  <c r="I213" i="14" s="1"/>
  <c r="K213" i="14" s="1"/>
  <c r="J221" i="14"/>
  <c r="N222" i="14"/>
  <c r="P222" i="14"/>
  <c r="L223" i="14"/>
  <c r="L224" i="14"/>
  <c r="L225" i="14"/>
  <c r="I228" i="14"/>
  <c r="K228" i="14" s="1"/>
  <c r="I229" i="14"/>
  <c r="I221" i="14" s="1"/>
  <c r="K221" i="14" s="1"/>
  <c r="I230" i="14"/>
  <c r="K230" i="14" s="1"/>
  <c r="N232" i="14"/>
  <c r="N233" i="14"/>
  <c r="N234" i="14"/>
  <c r="N235" i="14"/>
  <c r="N236" i="14"/>
  <c r="J238" i="14"/>
  <c r="I240" i="14"/>
  <c r="K240" i="14" s="1"/>
  <c r="J240" i="14"/>
  <c r="I241" i="14"/>
  <c r="J241" i="14"/>
  <c r="K241" i="14"/>
  <c r="J242" i="14"/>
  <c r="N243" i="14"/>
  <c r="P243" i="14"/>
  <c r="L244" i="14"/>
  <c r="L245" i="14"/>
  <c r="L246" i="14"/>
  <c r="L247" i="14"/>
  <c r="I249" i="14"/>
  <c r="K251" i="14"/>
  <c r="K252" i="14"/>
  <c r="J253" i="14"/>
  <c r="N254" i="14"/>
  <c r="P254" i="14"/>
  <c r="L255" i="14"/>
  <c r="L256" i="14"/>
  <c r="L257" i="14"/>
  <c r="L258" i="14"/>
  <c r="I260" i="14"/>
  <c r="I253" i="14" s="1"/>
  <c r="K253" i="14" s="1"/>
  <c r="K262" i="14"/>
  <c r="K263" i="14"/>
  <c r="I265" i="14"/>
  <c r="K265" i="14" s="1"/>
  <c r="J265" i="14"/>
  <c r="L267" i="14"/>
  <c r="M267" i="14"/>
  <c r="N267" i="14"/>
  <c r="O270" i="14"/>
  <c r="P270" i="14"/>
  <c r="L271" i="14"/>
  <c r="L269" i="14" s="1"/>
  <c r="O269" i="14" s="1"/>
  <c r="M271" i="14"/>
  <c r="M269" i="14" s="1"/>
  <c r="P269" i="14" s="1"/>
  <c r="N271" i="14"/>
  <c r="N269" i="14" s="1"/>
  <c r="O273" i="14"/>
  <c r="P273" i="14"/>
  <c r="L274" i="14"/>
  <c r="L272" i="14" s="1"/>
  <c r="O272" i="14" s="1"/>
  <c r="M274" i="14"/>
  <c r="M272" i="14" s="1"/>
  <c r="P272" i="14" s="1"/>
  <c r="N274" i="14"/>
  <c r="N272" i="14" s="1"/>
  <c r="J281" i="14"/>
  <c r="L283" i="14"/>
  <c r="M283" i="14"/>
  <c r="N283" i="14"/>
  <c r="O283" i="14"/>
  <c r="P283" i="14"/>
  <c r="O286" i="14"/>
  <c r="P286" i="14"/>
  <c r="L287" i="14"/>
  <c r="M287" i="14"/>
  <c r="M285" i="14" s="1"/>
  <c r="N287" i="14"/>
  <c r="N285" i="14" s="1"/>
  <c r="O289" i="14"/>
  <c r="P289" i="14"/>
  <c r="L290" i="14"/>
  <c r="O290" i="14" s="1"/>
  <c r="M290" i="14"/>
  <c r="P290" i="14" s="1"/>
  <c r="N290" i="14"/>
  <c r="I292" i="14"/>
  <c r="I281" i="14" s="1"/>
  <c r="K281" i="14" s="1"/>
  <c r="I293" i="14"/>
  <c r="I280" i="14" s="1"/>
  <c r="K280" i="14" s="1"/>
  <c r="J293" i="14"/>
  <c r="J280" i="14" s="1"/>
  <c r="I295" i="14"/>
  <c r="K295" i="14" s="1"/>
  <c r="I296" i="14"/>
  <c r="K296" i="14" s="1"/>
  <c r="J302" i="14"/>
  <c r="L304" i="14"/>
  <c r="M304" i="14"/>
  <c r="N304" i="14"/>
  <c r="O307" i="14"/>
  <c r="P307" i="14"/>
  <c r="L308" i="14"/>
  <c r="L306" i="14" s="1"/>
  <c r="O306" i="14" s="1"/>
  <c r="M308" i="14"/>
  <c r="M306" i="14" s="1"/>
  <c r="P306" i="14" s="1"/>
  <c r="N308" i="14"/>
  <c r="N306" i="14" s="1"/>
  <c r="O310" i="14"/>
  <c r="P310" i="14"/>
  <c r="L311" i="14"/>
  <c r="L309" i="14" s="1"/>
  <c r="O309" i="14" s="1"/>
  <c r="M311" i="14"/>
  <c r="M309" i="14" s="1"/>
  <c r="P309" i="14" s="1"/>
  <c r="N311" i="14"/>
  <c r="N309" i="14" s="1"/>
  <c r="I314" i="14"/>
  <c r="K314" i="14" s="1"/>
  <c r="I315" i="14"/>
  <c r="K315" i="14" s="1"/>
  <c r="I316" i="14"/>
  <c r="K316" i="14" s="1"/>
  <c r="I317" i="14"/>
  <c r="K317" i="14" s="1"/>
  <c r="J319" i="14"/>
  <c r="L321" i="14"/>
  <c r="O321" i="14" s="1"/>
  <c r="M321" i="14"/>
  <c r="N321" i="14"/>
  <c r="O324" i="14"/>
  <c r="P324" i="14"/>
  <c r="L325" i="14"/>
  <c r="L323" i="14" s="1"/>
  <c r="O323" i="14" s="1"/>
  <c r="M325" i="14"/>
  <c r="P325" i="14" s="1"/>
  <c r="N325" i="14"/>
  <c r="O327" i="14"/>
  <c r="P327" i="14"/>
  <c r="L328" i="14"/>
  <c r="L326" i="14" s="1"/>
  <c r="O326" i="14" s="1"/>
  <c r="M328" i="14"/>
  <c r="P328" i="14" s="1"/>
  <c r="N328" i="14"/>
  <c r="N326" i="14" s="1"/>
  <c r="I330" i="14"/>
  <c r="K330" i="14" s="1"/>
  <c r="L334" i="14"/>
  <c r="M334" i="14"/>
  <c r="N334" i="14"/>
  <c r="P334" i="14"/>
  <c r="O337" i="14"/>
  <c r="P337" i="14"/>
  <c r="L338" i="14"/>
  <c r="M338" i="14"/>
  <c r="M336" i="14" s="1"/>
  <c r="N338" i="14"/>
  <c r="N336" i="14" s="1"/>
  <c r="O340" i="14"/>
  <c r="P340" i="14"/>
  <c r="L341" i="14"/>
  <c r="O341" i="14" s="1"/>
  <c r="M341" i="14"/>
  <c r="M339" i="14" s="1"/>
  <c r="P339" i="14" s="1"/>
  <c r="N341" i="14"/>
  <c r="N339" i="14" s="1"/>
  <c r="I344" i="14"/>
  <c r="I332" i="14" s="1"/>
  <c r="J344" i="14"/>
  <c r="I346" i="14"/>
  <c r="J346" i="14"/>
  <c r="J347" i="14"/>
  <c r="J348" i="14"/>
  <c r="J349" i="14"/>
  <c r="D350" i="14"/>
  <c r="J352" i="14"/>
  <c r="J353" i="14"/>
  <c r="D354" i="14"/>
  <c r="L357" i="14"/>
  <c r="M357" i="14"/>
  <c r="P357" i="14" s="1"/>
  <c r="N357" i="14"/>
  <c r="O360" i="14"/>
  <c r="P360" i="14"/>
  <c r="L361" i="14"/>
  <c r="M361" i="14"/>
  <c r="M359" i="14" s="1"/>
  <c r="N361" i="14"/>
  <c r="N359" i="14" s="1"/>
  <c r="O363" i="14"/>
  <c r="P363" i="14"/>
  <c r="L364" i="14"/>
  <c r="O364" i="14" s="1"/>
  <c r="M364" i="14"/>
  <c r="M362" i="14" s="1"/>
  <c r="P362" i="14" s="1"/>
  <c r="N364" i="14"/>
  <c r="N362" i="14" s="1"/>
  <c r="J367" i="14"/>
  <c r="K367" i="14"/>
  <c r="I368" i="14"/>
  <c r="J368" i="14"/>
  <c r="I369" i="14"/>
  <c r="J369" i="14"/>
  <c r="J370" i="14"/>
  <c r="K370" i="14"/>
  <c r="I371" i="14"/>
  <c r="I365" i="14" s="1"/>
  <c r="J371" i="14"/>
  <c r="J365" i="14" s="1"/>
  <c r="J372" i="14"/>
  <c r="K372" i="14"/>
  <c r="D373" i="14"/>
  <c r="I376" i="14"/>
  <c r="K376" i="14" s="1"/>
  <c r="J376" i="14"/>
  <c r="L378" i="14"/>
  <c r="M378" i="14"/>
  <c r="N378" i="14"/>
  <c r="O378" i="14"/>
  <c r="P378" i="14"/>
  <c r="O381" i="14"/>
  <c r="P381" i="14"/>
  <c r="L382" i="14"/>
  <c r="L380" i="14" s="1"/>
  <c r="O380" i="14" s="1"/>
  <c r="M382" i="14"/>
  <c r="M380" i="14" s="1"/>
  <c r="P380" i="14" s="1"/>
  <c r="N382" i="14"/>
  <c r="N380" i="14" s="1"/>
  <c r="O384" i="14"/>
  <c r="P384" i="14"/>
  <c r="L385" i="14"/>
  <c r="L383" i="14" s="1"/>
  <c r="O383" i="14" s="1"/>
  <c r="M385" i="14"/>
  <c r="M383" i="14" s="1"/>
  <c r="P383" i="14" s="1"/>
  <c r="N385" i="14"/>
  <c r="N383" i="14" s="1"/>
  <c r="K387" i="14"/>
  <c r="K388" i="14"/>
  <c r="A391" i="14"/>
  <c r="L22" i="13"/>
  <c r="L19" i="13" s="1"/>
  <c r="M22" i="13"/>
  <c r="M19" i="13" s="1"/>
  <c r="P19" i="13" s="1"/>
  <c r="N22" i="13"/>
  <c r="L25" i="13"/>
  <c r="M25" i="13"/>
  <c r="P25" i="13" s="1"/>
  <c r="N25" i="13"/>
  <c r="O25" i="13"/>
  <c r="L45" i="13"/>
  <c r="O45" i="13" s="1"/>
  <c r="M45" i="13"/>
  <c r="P45" i="13" s="1"/>
  <c r="N45" i="13"/>
  <c r="O48" i="13"/>
  <c r="P48" i="13"/>
  <c r="L49" i="13"/>
  <c r="L47" i="13" s="1"/>
  <c r="M49" i="13"/>
  <c r="N49" i="13"/>
  <c r="N47" i="13" s="1"/>
  <c r="O51" i="13"/>
  <c r="P51" i="13"/>
  <c r="L52" i="13"/>
  <c r="L50" i="13" s="1"/>
  <c r="O50" i="13" s="1"/>
  <c r="M52" i="13"/>
  <c r="P52" i="13" s="1"/>
  <c r="N52" i="13"/>
  <c r="N50" i="13" s="1"/>
  <c r="L60" i="13"/>
  <c r="O60" i="13" s="1"/>
  <c r="M60" i="13"/>
  <c r="N60" i="13"/>
  <c r="P60" i="13"/>
  <c r="O63" i="13"/>
  <c r="P63" i="13"/>
  <c r="L64" i="13"/>
  <c r="M64" i="13"/>
  <c r="M62" i="13" s="1"/>
  <c r="N64" i="13"/>
  <c r="N62" i="13" s="1"/>
  <c r="O66" i="13"/>
  <c r="P66" i="13"/>
  <c r="L67" i="13"/>
  <c r="O67" i="13" s="1"/>
  <c r="M67" i="13"/>
  <c r="M65" i="13" s="1"/>
  <c r="P65" i="13" s="1"/>
  <c r="N67" i="13"/>
  <c r="N65" i="13" s="1"/>
  <c r="L73" i="13"/>
  <c r="M73" i="13"/>
  <c r="P73" i="13" s="1"/>
  <c r="N73" i="13"/>
  <c r="O73" i="13"/>
  <c r="O76" i="13"/>
  <c r="P76" i="13"/>
  <c r="L77" i="13"/>
  <c r="L75" i="13" s="1"/>
  <c r="O75" i="13" s="1"/>
  <c r="M77" i="13"/>
  <c r="M75" i="13" s="1"/>
  <c r="P75" i="13" s="1"/>
  <c r="N77" i="13"/>
  <c r="N75" i="13" s="1"/>
  <c r="O79" i="13"/>
  <c r="P79" i="13"/>
  <c r="L80" i="13"/>
  <c r="L78" i="13" s="1"/>
  <c r="O78" i="13" s="1"/>
  <c r="M80" i="13"/>
  <c r="M78" i="13" s="1"/>
  <c r="P78" i="13" s="1"/>
  <c r="N80" i="13"/>
  <c r="N78" i="13" s="1"/>
  <c r="J82" i="13"/>
  <c r="J70" i="13" s="1"/>
  <c r="J83" i="13"/>
  <c r="J71" i="13" s="1"/>
  <c r="I84" i="13"/>
  <c r="I85" i="13"/>
  <c r="I86" i="13"/>
  <c r="K86" i="13" s="1"/>
  <c r="I87" i="13"/>
  <c r="K87" i="13" s="1"/>
  <c r="I88" i="13"/>
  <c r="K88" i="13" s="1"/>
  <c r="I89" i="13"/>
  <c r="K89" i="13" s="1"/>
  <c r="I90" i="13"/>
  <c r="K90" i="13" s="1"/>
  <c r="J92" i="13"/>
  <c r="J93" i="13"/>
  <c r="L95" i="13"/>
  <c r="M95" i="13"/>
  <c r="P95" i="13" s="1"/>
  <c r="N95" i="13"/>
  <c r="O98" i="13"/>
  <c r="P98" i="13"/>
  <c r="L99" i="13"/>
  <c r="L97" i="13" s="1"/>
  <c r="O97" i="13" s="1"/>
  <c r="M99" i="13"/>
  <c r="M97" i="13" s="1"/>
  <c r="P97" i="13" s="1"/>
  <c r="N99" i="13"/>
  <c r="N97" i="13" s="1"/>
  <c r="O101" i="13"/>
  <c r="P101" i="13"/>
  <c r="L102" i="13"/>
  <c r="O102" i="13" s="1"/>
  <c r="M102" i="13"/>
  <c r="P102" i="13" s="1"/>
  <c r="N102" i="13"/>
  <c r="N100" i="13" s="1"/>
  <c r="I108" i="13"/>
  <c r="K108" i="13" s="1"/>
  <c r="I109" i="13"/>
  <c r="I93" i="13" s="1"/>
  <c r="K93" i="13" s="1"/>
  <c r="I117" i="13"/>
  <c r="K117" i="13" s="1"/>
  <c r="L126" i="13"/>
  <c r="O126" i="13" s="1"/>
  <c r="M126" i="13"/>
  <c r="N126" i="13"/>
  <c r="P126" i="13"/>
  <c r="O129" i="13"/>
  <c r="P129" i="13"/>
  <c r="L130" i="13"/>
  <c r="L128" i="13" s="1"/>
  <c r="O128" i="13" s="1"/>
  <c r="M130" i="13"/>
  <c r="M128" i="13" s="1"/>
  <c r="P128" i="13" s="1"/>
  <c r="N130" i="13"/>
  <c r="N128" i="13" s="1"/>
  <c r="O132" i="13"/>
  <c r="P132" i="13"/>
  <c r="L133" i="13"/>
  <c r="L131" i="13" s="1"/>
  <c r="O131" i="13" s="1"/>
  <c r="M133" i="13"/>
  <c r="P133" i="13" s="1"/>
  <c r="N133" i="13"/>
  <c r="N131" i="13" s="1"/>
  <c r="J136" i="13"/>
  <c r="J137" i="13"/>
  <c r="J138" i="13"/>
  <c r="L140" i="13"/>
  <c r="O140" i="13" s="1"/>
  <c r="M140" i="13"/>
  <c r="P140" i="13" s="1"/>
  <c r="N140" i="13"/>
  <c r="O143" i="13"/>
  <c r="P143" i="13"/>
  <c r="L144" i="13"/>
  <c r="M144" i="13"/>
  <c r="M142" i="13" s="1"/>
  <c r="N144" i="13"/>
  <c r="O146" i="13"/>
  <c r="P146" i="13"/>
  <c r="L147" i="13"/>
  <c r="O147" i="13" s="1"/>
  <c r="M147" i="13"/>
  <c r="M145" i="13" s="1"/>
  <c r="P145" i="13" s="1"/>
  <c r="N147" i="13"/>
  <c r="N145" i="13" s="1"/>
  <c r="I150" i="13"/>
  <c r="K150" i="13" s="1"/>
  <c r="I151" i="13"/>
  <c r="K151" i="13" s="1"/>
  <c r="I152" i="13"/>
  <c r="I137" i="13" s="1"/>
  <c r="K137" i="13" s="1"/>
  <c r="I153" i="13"/>
  <c r="K153" i="13" s="1"/>
  <c r="I154" i="13"/>
  <c r="I136" i="13" s="1"/>
  <c r="K136" i="13" s="1"/>
  <c r="J156" i="13"/>
  <c r="L158" i="13"/>
  <c r="O158" i="13" s="1"/>
  <c r="M158" i="13"/>
  <c r="P158" i="13" s="1"/>
  <c r="N158" i="13"/>
  <c r="O161" i="13"/>
  <c r="P161" i="13"/>
  <c r="L162" i="13"/>
  <c r="L160" i="13" s="1"/>
  <c r="O160" i="13" s="1"/>
  <c r="M162" i="13"/>
  <c r="M160" i="13" s="1"/>
  <c r="P160" i="13" s="1"/>
  <c r="N162" i="13"/>
  <c r="O164" i="13"/>
  <c r="P164" i="13"/>
  <c r="L165" i="13"/>
  <c r="L163" i="13" s="1"/>
  <c r="O163" i="13" s="1"/>
  <c r="M165" i="13"/>
  <c r="M163" i="13" s="1"/>
  <c r="P163" i="13" s="1"/>
  <c r="N165" i="13"/>
  <c r="N163" i="13" s="1"/>
  <c r="I167" i="13"/>
  <c r="K167" i="13" s="1"/>
  <c r="I168" i="13"/>
  <c r="K168" i="13" s="1"/>
  <c r="I169" i="13"/>
  <c r="I156" i="13" s="1"/>
  <c r="K156" i="13" s="1"/>
  <c r="J172" i="13"/>
  <c r="L174" i="13"/>
  <c r="O174" i="13" s="1"/>
  <c r="M174" i="13"/>
  <c r="P174" i="13" s="1"/>
  <c r="N174" i="13"/>
  <c r="O177" i="13"/>
  <c r="P177" i="13"/>
  <c r="L178" i="13"/>
  <c r="L176" i="13" s="1"/>
  <c r="M178" i="13"/>
  <c r="M176" i="13" s="1"/>
  <c r="N178" i="13"/>
  <c r="O180" i="13"/>
  <c r="P180" i="13"/>
  <c r="L181" i="13"/>
  <c r="L179" i="13" s="1"/>
  <c r="O179" i="13" s="1"/>
  <c r="M181" i="13"/>
  <c r="M179" i="13" s="1"/>
  <c r="P179" i="13" s="1"/>
  <c r="N181" i="13"/>
  <c r="N179" i="13" s="1"/>
  <c r="I183" i="13"/>
  <c r="I172" i="13" s="1"/>
  <c r="K172" i="13" s="1"/>
  <c r="K184" i="13"/>
  <c r="L187" i="13"/>
  <c r="M187" i="13"/>
  <c r="N187" i="13"/>
  <c r="O187" i="13"/>
  <c r="P187" i="13"/>
  <c r="O190" i="13"/>
  <c r="P190" i="13"/>
  <c r="L191" i="13"/>
  <c r="M191" i="13"/>
  <c r="M189" i="13" s="1"/>
  <c r="N191" i="13"/>
  <c r="O193" i="13"/>
  <c r="P193" i="13"/>
  <c r="L194" i="13"/>
  <c r="O194" i="13" s="1"/>
  <c r="M194" i="13"/>
  <c r="M192" i="13" s="1"/>
  <c r="P192" i="13" s="1"/>
  <c r="N194" i="13"/>
  <c r="N192" i="13" s="1"/>
  <c r="J195" i="13"/>
  <c r="L196" i="13"/>
  <c r="O196" i="13" s="1"/>
  <c r="P196" i="13"/>
  <c r="I198" i="13"/>
  <c r="I195" i="13" s="1"/>
  <c r="K195" i="13" s="1"/>
  <c r="J199" i="13"/>
  <c r="J202" i="13"/>
  <c r="N203" i="13"/>
  <c r="P203" i="13"/>
  <c r="L204" i="13"/>
  <c r="L205" i="13"/>
  <c r="L206" i="13"/>
  <c r="L207" i="13"/>
  <c r="I209" i="13"/>
  <c r="I211" i="13"/>
  <c r="K211" i="13" s="1"/>
  <c r="I212" i="13"/>
  <c r="K212" i="13" s="1"/>
  <c r="J213" i="13"/>
  <c r="N214" i="13"/>
  <c r="P214" i="13"/>
  <c r="L215" i="13"/>
  <c r="L216" i="13"/>
  <c r="L217" i="13"/>
  <c r="I219" i="13"/>
  <c r="K219" i="13" s="1"/>
  <c r="I220" i="13"/>
  <c r="K220" i="13" s="1"/>
  <c r="J221" i="13"/>
  <c r="N222" i="13"/>
  <c r="P222" i="13"/>
  <c r="L223" i="13"/>
  <c r="L224" i="13"/>
  <c r="L225" i="13"/>
  <c r="I228" i="13"/>
  <c r="K228" i="13" s="1"/>
  <c r="I229" i="13"/>
  <c r="I221" i="13" s="1"/>
  <c r="K221" i="13" s="1"/>
  <c r="I230" i="13"/>
  <c r="N233" i="13"/>
  <c r="N234" i="13"/>
  <c r="N235" i="13"/>
  <c r="N236" i="13"/>
  <c r="J238" i="13"/>
  <c r="I240" i="13"/>
  <c r="J240" i="13"/>
  <c r="K240" i="13"/>
  <c r="I241" i="13"/>
  <c r="K241" i="13" s="1"/>
  <c r="J241" i="13"/>
  <c r="J242" i="13"/>
  <c r="N243" i="13"/>
  <c r="P243" i="13"/>
  <c r="L244" i="13"/>
  <c r="L245" i="13"/>
  <c r="L246" i="13"/>
  <c r="L247" i="13"/>
  <c r="I249" i="13"/>
  <c r="K251" i="13"/>
  <c r="K252" i="13"/>
  <c r="J253" i="13"/>
  <c r="N254" i="13"/>
  <c r="P254" i="13"/>
  <c r="L255" i="13"/>
  <c r="L256" i="13"/>
  <c r="L257" i="13"/>
  <c r="L258" i="13"/>
  <c r="I260" i="13"/>
  <c r="K262" i="13"/>
  <c r="K263" i="13"/>
  <c r="I265" i="13"/>
  <c r="K265" i="13" s="1"/>
  <c r="J265" i="13"/>
  <c r="L267" i="13"/>
  <c r="M267" i="13"/>
  <c r="N267" i="13"/>
  <c r="O270" i="13"/>
  <c r="P270" i="13"/>
  <c r="L271" i="13"/>
  <c r="L269" i="13" s="1"/>
  <c r="O269" i="13" s="1"/>
  <c r="M271" i="13"/>
  <c r="M269" i="13" s="1"/>
  <c r="P269" i="13" s="1"/>
  <c r="N271" i="13"/>
  <c r="N269" i="13" s="1"/>
  <c r="O273" i="13"/>
  <c r="P273" i="13"/>
  <c r="L274" i="13"/>
  <c r="L272" i="13" s="1"/>
  <c r="O272" i="13" s="1"/>
  <c r="M274" i="13"/>
  <c r="M272" i="13" s="1"/>
  <c r="P272" i="13" s="1"/>
  <c r="N274" i="13"/>
  <c r="N272" i="13" s="1"/>
  <c r="J281" i="13"/>
  <c r="L283" i="13"/>
  <c r="O283" i="13" s="1"/>
  <c r="M283" i="13"/>
  <c r="P283" i="13" s="1"/>
  <c r="N283" i="13"/>
  <c r="O286" i="13"/>
  <c r="P286" i="13"/>
  <c r="L287" i="13"/>
  <c r="L285" i="13" s="1"/>
  <c r="M287" i="13"/>
  <c r="M285" i="13" s="1"/>
  <c r="N287" i="13"/>
  <c r="N285" i="13" s="1"/>
  <c r="O289" i="13"/>
  <c r="P289" i="13"/>
  <c r="L290" i="13"/>
  <c r="L288" i="13" s="1"/>
  <c r="O288" i="13" s="1"/>
  <c r="M290" i="13"/>
  <c r="M288" i="13" s="1"/>
  <c r="P288" i="13" s="1"/>
  <c r="N290" i="13"/>
  <c r="N288" i="13" s="1"/>
  <c r="I292" i="13"/>
  <c r="I281" i="13" s="1"/>
  <c r="K281" i="13" s="1"/>
  <c r="I293" i="13"/>
  <c r="J293" i="13"/>
  <c r="J280" i="13" s="1"/>
  <c r="I295" i="13"/>
  <c r="K295" i="13" s="1"/>
  <c r="I296" i="13"/>
  <c r="K296" i="13" s="1"/>
  <c r="J302" i="13"/>
  <c r="L304" i="13"/>
  <c r="O304" i="13" s="1"/>
  <c r="M304" i="13"/>
  <c r="N304" i="13"/>
  <c r="O307" i="13"/>
  <c r="P307" i="13"/>
  <c r="L308" i="13"/>
  <c r="L306" i="13" s="1"/>
  <c r="O306" i="13" s="1"/>
  <c r="M308" i="13"/>
  <c r="M306" i="13" s="1"/>
  <c r="P306" i="13" s="1"/>
  <c r="N308" i="13"/>
  <c r="O310" i="13"/>
  <c r="P310" i="13"/>
  <c r="L311" i="13"/>
  <c r="L309" i="13" s="1"/>
  <c r="O309" i="13" s="1"/>
  <c r="M311" i="13"/>
  <c r="M309" i="13" s="1"/>
  <c r="P309" i="13" s="1"/>
  <c r="N311" i="13"/>
  <c r="N309" i="13" s="1"/>
  <c r="I314" i="13"/>
  <c r="I302" i="13" s="1"/>
  <c r="K302" i="13" s="1"/>
  <c r="I315" i="13"/>
  <c r="K315" i="13" s="1"/>
  <c r="I316" i="13"/>
  <c r="K316" i="13" s="1"/>
  <c r="I317" i="13"/>
  <c r="K317" i="13" s="1"/>
  <c r="J319" i="13"/>
  <c r="L321" i="13"/>
  <c r="M321" i="13"/>
  <c r="P321" i="13" s="1"/>
  <c r="N321" i="13"/>
  <c r="O321" i="13"/>
  <c r="O324" i="13"/>
  <c r="P324" i="13"/>
  <c r="L325" i="13"/>
  <c r="M325" i="13"/>
  <c r="M323" i="13" s="1"/>
  <c r="P323" i="13" s="1"/>
  <c r="N325" i="13"/>
  <c r="N323" i="13" s="1"/>
  <c r="O327" i="13"/>
  <c r="P327" i="13"/>
  <c r="L328" i="13"/>
  <c r="L326" i="13" s="1"/>
  <c r="O326" i="13" s="1"/>
  <c r="M328" i="13"/>
  <c r="M326" i="13" s="1"/>
  <c r="P326" i="13" s="1"/>
  <c r="N328" i="13"/>
  <c r="N326" i="13" s="1"/>
  <c r="I330" i="13"/>
  <c r="K330" i="13" s="1"/>
  <c r="L334" i="13"/>
  <c r="O334" i="13" s="1"/>
  <c r="M334" i="13"/>
  <c r="P334" i="13" s="1"/>
  <c r="N334" i="13"/>
  <c r="O337" i="13"/>
  <c r="P337" i="13"/>
  <c r="L338" i="13"/>
  <c r="L336" i="13" s="1"/>
  <c r="M338" i="13"/>
  <c r="N338" i="13"/>
  <c r="N336" i="13" s="1"/>
  <c r="O340" i="13"/>
  <c r="P340" i="13"/>
  <c r="L341" i="13"/>
  <c r="L339" i="13" s="1"/>
  <c r="O339" i="13" s="1"/>
  <c r="M341" i="13"/>
  <c r="P341" i="13" s="1"/>
  <c r="N341" i="13"/>
  <c r="N339" i="13" s="1"/>
  <c r="I344" i="13"/>
  <c r="J344" i="13"/>
  <c r="I346" i="13"/>
  <c r="J346" i="13"/>
  <c r="J347" i="13"/>
  <c r="J348" i="13"/>
  <c r="J349" i="13"/>
  <c r="D350" i="13"/>
  <c r="J352" i="13"/>
  <c r="J353" i="13"/>
  <c r="D354" i="13"/>
  <c r="L357" i="13"/>
  <c r="M357" i="13"/>
  <c r="P357" i="13" s="1"/>
  <c r="N357" i="13"/>
  <c r="O360" i="13"/>
  <c r="P360" i="13"/>
  <c r="L361" i="13"/>
  <c r="L359" i="13" s="1"/>
  <c r="M361" i="13"/>
  <c r="M359" i="13" s="1"/>
  <c r="N361" i="13"/>
  <c r="O363" i="13"/>
  <c r="P363" i="13"/>
  <c r="L364" i="13"/>
  <c r="L362" i="13" s="1"/>
  <c r="O362" i="13" s="1"/>
  <c r="M364" i="13"/>
  <c r="M362" i="13" s="1"/>
  <c r="P362" i="13" s="1"/>
  <c r="N364" i="13"/>
  <c r="N362" i="13" s="1"/>
  <c r="J367" i="13"/>
  <c r="K367" i="13"/>
  <c r="I368" i="13"/>
  <c r="J368" i="13"/>
  <c r="I369" i="13"/>
  <c r="J369" i="13"/>
  <c r="J370" i="13"/>
  <c r="K370" i="13"/>
  <c r="I371" i="13"/>
  <c r="I365" i="13" s="1"/>
  <c r="J371" i="13"/>
  <c r="J365" i="13" s="1"/>
  <c r="J372" i="13"/>
  <c r="K372" i="13"/>
  <c r="D373" i="13"/>
  <c r="I376" i="13"/>
  <c r="K376" i="13" s="1"/>
  <c r="J376" i="13"/>
  <c r="L378" i="13"/>
  <c r="O378" i="13" s="1"/>
  <c r="M378" i="13"/>
  <c r="N378" i="13"/>
  <c r="P378" i="13"/>
  <c r="O381" i="13"/>
  <c r="P381" i="13"/>
  <c r="L382" i="13"/>
  <c r="L380" i="13" s="1"/>
  <c r="O380" i="13" s="1"/>
  <c r="M382" i="13"/>
  <c r="M380" i="13" s="1"/>
  <c r="P380" i="13" s="1"/>
  <c r="N382" i="13"/>
  <c r="N380" i="13" s="1"/>
  <c r="O384" i="13"/>
  <c r="P384" i="13"/>
  <c r="L385" i="13"/>
  <c r="L383" i="13" s="1"/>
  <c r="O383" i="13" s="1"/>
  <c r="M385" i="13"/>
  <c r="M383" i="13" s="1"/>
  <c r="P383" i="13" s="1"/>
  <c r="N385" i="13"/>
  <c r="N383" i="13" s="1"/>
  <c r="K387" i="13"/>
  <c r="K388" i="13"/>
  <c r="A391" i="13"/>
  <c r="L22" i="12"/>
  <c r="M22" i="12"/>
  <c r="N22" i="12"/>
  <c r="P22" i="12"/>
  <c r="L25" i="12"/>
  <c r="O25" i="12" s="1"/>
  <c r="M25" i="12"/>
  <c r="N25" i="12"/>
  <c r="L45" i="12"/>
  <c r="M45" i="12"/>
  <c r="N45" i="12"/>
  <c r="O48" i="12"/>
  <c r="P48" i="12"/>
  <c r="L49" i="12"/>
  <c r="M49" i="12"/>
  <c r="M47" i="12" s="1"/>
  <c r="N49" i="12"/>
  <c r="O51" i="12"/>
  <c r="P51" i="12"/>
  <c r="L52" i="12"/>
  <c r="M52" i="12"/>
  <c r="N52" i="12"/>
  <c r="L60" i="12"/>
  <c r="M60" i="12"/>
  <c r="P60" i="12" s="1"/>
  <c r="N60" i="12"/>
  <c r="O63" i="12"/>
  <c r="P63" i="12"/>
  <c r="L64" i="12"/>
  <c r="L62" i="12" s="1"/>
  <c r="M64" i="12"/>
  <c r="M62" i="12" s="1"/>
  <c r="N64" i="12"/>
  <c r="N62" i="12" s="1"/>
  <c r="O66" i="12"/>
  <c r="P66" i="12"/>
  <c r="L67" i="12"/>
  <c r="L65" i="12" s="1"/>
  <c r="O65" i="12" s="1"/>
  <c r="M67" i="12"/>
  <c r="M65" i="12" s="1"/>
  <c r="P65" i="12" s="1"/>
  <c r="N67" i="12"/>
  <c r="N65" i="12" s="1"/>
  <c r="L73" i="12"/>
  <c r="M73" i="12"/>
  <c r="N73" i="12"/>
  <c r="O73" i="12"/>
  <c r="O76" i="12"/>
  <c r="P76" i="12"/>
  <c r="L77" i="12"/>
  <c r="M77" i="12"/>
  <c r="P77" i="12" s="1"/>
  <c r="N77" i="12"/>
  <c r="N75" i="12" s="1"/>
  <c r="O79" i="12"/>
  <c r="P79" i="12"/>
  <c r="L80" i="12"/>
  <c r="M80" i="12"/>
  <c r="M78" i="12" s="1"/>
  <c r="P78" i="12" s="1"/>
  <c r="N80" i="12"/>
  <c r="N78" i="12" s="1"/>
  <c r="J82" i="12"/>
  <c r="J70" i="12" s="1"/>
  <c r="J83" i="12"/>
  <c r="J71" i="12" s="1"/>
  <c r="I84" i="12"/>
  <c r="K84" i="12" s="1"/>
  <c r="I85" i="12"/>
  <c r="I86" i="12"/>
  <c r="K86" i="12" s="1"/>
  <c r="I87" i="12"/>
  <c r="K87" i="12" s="1"/>
  <c r="I88" i="12"/>
  <c r="K88" i="12" s="1"/>
  <c r="I89" i="12"/>
  <c r="K89" i="12" s="1"/>
  <c r="I90" i="12"/>
  <c r="K90" i="12" s="1"/>
  <c r="J92" i="12"/>
  <c r="J93" i="12"/>
  <c r="L95" i="12"/>
  <c r="O95" i="12" s="1"/>
  <c r="M95" i="12"/>
  <c r="N95" i="12"/>
  <c r="O98" i="12"/>
  <c r="P98" i="12"/>
  <c r="L99" i="12"/>
  <c r="L97" i="12" s="1"/>
  <c r="O97" i="12" s="1"/>
  <c r="M99" i="12"/>
  <c r="P99" i="12" s="1"/>
  <c r="N99" i="12"/>
  <c r="O101" i="12"/>
  <c r="P101" i="12"/>
  <c r="L102" i="12"/>
  <c r="O102" i="12" s="1"/>
  <c r="M102" i="12"/>
  <c r="P102" i="12" s="1"/>
  <c r="N102" i="12"/>
  <c r="N100" i="12" s="1"/>
  <c r="I108" i="12"/>
  <c r="I92" i="12" s="1"/>
  <c r="K92" i="12" s="1"/>
  <c r="I109" i="12"/>
  <c r="I93" i="12" s="1"/>
  <c r="K93" i="12" s="1"/>
  <c r="I117" i="12"/>
  <c r="K117" i="12" s="1"/>
  <c r="L126" i="12"/>
  <c r="M126" i="12"/>
  <c r="N126" i="12"/>
  <c r="O126" i="12"/>
  <c r="P126" i="12"/>
  <c r="O129" i="12"/>
  <c r="P129" i="12"/>
  <c r="L130" i="12"/>
  <c r="M130" i="12"/>
  <c r="N130" i="12"/>
  <c r="N128" i="12" s="1"/>
  <c r="O132" i="12"/>
  <c r="P132" i="12"/>
  <c r="L133" i="12"/>
  <c r="O133" i="12" s="1"/>
  <c r="M133" i="12"/>
  <c r="M131" i="12" s="1"/>
  <c r="P131" i="12" s="1"/>
  <c r="N133" i="12"/>
  <c r="N131" i="12" s="1"/>
  <c r="J136" i="12"/>
  <c r="J137" i="12"/>
  <c r="J138" i="12"/>
  <c r="L140" i="12"/>
  <c r="M140" i="12"/>
  <c r="P140" i="12" s="1"/>
  <c r="N140" i="12"/>
  <c r="O140" i="12"/>
  <c r="O143" i="12"/>
  <c r="P143" i="12"/>
  <c r="L144" i="12"/>
  <c r="L142" i="12" s="1"/>
  <c r="O142" i="12" s="1"/>
  <c r="M144" i="12"/>
  <c r="M142" i="12" s="1"/>
  <c r="P142" i="12" s="1"/>
  <c r="N144" i="12"/>
  <c r="N142" i="12" s="1"/>
  <c r="O146" i="12"/>
  <c r="P146" i="12"/>
  <c r="L147" i="12"/>
  <c r="O147" i="12" s="1"/>
  <c r="M147" i="12"/>
  <c r="N147" i="12"/>
  <c r="N145" i="12" s="1"/>
  <c r="I150" i="12"/>
  <c r="K150" i="12" s="1"/>
  <c r="I151" i="12"/>
  <c r="K151" i="12" s="1"/>
  <c r="I152" i="12"/>
  <c r="K152" i="12" s="1"/>
  <c r="I153" i="12"/>
  <c r="I138" i="12" s="1"/>
  <c r="K138" i="12" s="1"/>
  <c r="I154" i="12"/>
  <c r="I136" i="12" s="1"/>
  <c r="K136" i="12" s="1"/>
  <c r="J156" i="12"/>
  <c r="L158" i="12"/>
  <c r="M158" i="12"/>
  <c r="N158" i="12"/>
  <c r="O158" i="12"/>
  <c r="O161" i="12"/>
  <c r="P161" i="12"/>
  <c r="L162" i="12"/>
  <c r="M162" i="12"/>
  <c r="M160" i="12" s="1"/>
  <c r="P160" i="12" s="1"/>
  <c r="N162" i="12"/>
  <c r="N160" i="12" s="1"/>
  <c r="O164" i="12"/>
  <c r="P164" i="12"/>
  <c r="L165" i="12"/>
  <c r="O165" i="12" s="1"/>
  <c r="M165" i="12"/>
  <c r="P165" i="12" s="1"/>
  <c r="N165" i="12"/>
  <c r="N163" i="12" s="1"/>
  <c r="I167" i="12"/>
  <c r="I169" i="12" s="1"/>
  <c r="K169" i="12" s="1"/>
  <c r="J172" i="12"/>
  <c r="L174" i="12"/>
  <c r="O174" i="12" s="1"/>
  <c r="M174" i="12"/>
  <c r="N174" i="12"/>
  <c r="P174" i="12"/>
  <c r="O177" i="12"/>
  <c r="P177" i="12"/>
  <c r="L178" i="12"/>
  <c r="L176" i="12" s="1"/>
  <c r="M178" i="12"/>
  <c r="M176" i="12" s="1"/>
  <c r="N178" i="12"/>
  <c r="N176" i="12" s="1"/>
  <c r="O180" i="12"/>
  <c r="P180" i="12"/>
  <c r="L181" i="12"/>
  <c r="O181" i="12" s="1"/>
  <c r="M181" i="12"/>
  <c r="P181" i="12" s="1"/>
  <c r="N181" i="12"/>
  <c r="N179" i="12" s="1"/>
  <c r="I183" i="12"/>
  <c r="I172" i="12" s="1"/>
  <c r="K184" i="12"/>
  <c r="L187" i="12"/>
  <c r="M187" i="12"/>
  <c r="N187" i="12"/>
  <c r="O190" i="12"/>
  <c r="P190" i="12"/>
  <c r="L191" i="12"/>
  <c r="L189" i="12" s="1"/>
  <c r="M191" i="12"/>
  <c r="M189" i="12" s="1"/>
  <c r="N191" i="12"/>
  <c r="O193" i="12"/>
  <c r="P193" i="12"/>
  <c r="L194" i="12"/>
  <c r="O194" i="12" s="1"/>
  <c r="M194" i="12"/>
  <c r="N194" i="12"/>
  <c r="N192" i="12" s="1"/>
  <c r="J195" i="12"/>
  <c r="L196" i="12"/>
  <c r="O196" i="12" s="1"/>
  <c r="P196" i="12"/>
  <c r="I198" i="12"/>
  <c r="K198" i="12" s="1"/>
  <c r="J199" i="12"/>
  <c r="J202" i="12"/>
  <c r="N203" i="12"/>
  <c r="P203" i="12"/>
  <c r="L204" i="12"/>
  <c r="L205" i="12"/>
  <c r="L206" i="12"/>
  <c r="L207" i="12"/>
  <c r="I209" i="12"/>
  <c r="K209" i="12" s="1"/>
  <c r="I211" i="12"/>
  <c r="K211" i="12" s="1"/>
  <c r="I212" i="12"/>
  <c r="K212" i="12" s="1"/>
  <c r="J213" i="12"/>
  <c r="N214" i="12"/>
  <c r="P214" i="12"/>
  <c r="L215" i="12"/>
  <c r="L216" i="12"/>
  <c r="L217" i="12"/>
  <c r="I219" i="12"/>
  <c r="K219" i="12" s="1"/>
  <c r="I220" i="12"/>
  <c r="K220" i="12" s="1"/>
  <c r="J221" i="12"/>
  <c r="N222" i="12"/>
  <c r="P222" i="12"/>
  <c r="L223" i="12"/>
  <c r="L224" i="12"/>
  <c r="L225" i="12"/>
  <c r="I228" i="12"/>
  <c r="K228" i="12" s="1"/>
  <c r="I229" i="12"/>
  <c r="I221" i="12" s="1"/>
  <c r="K221" i="12" s="1"/>
  <c r="I230" i="12"/>
  <c r="K230" i="12" s="1"/>
  <c r="N233" i="12"/>
  <c r="N234" i="12"/>
  <c r="N235" i="12"/>
  <c r="N236" i="12"/>
  <c r="J238" i="12"/>
  <c r="I240" i="12"/>
  <c r="K240" i="12" s="1"/>
  <c r="J240" i="12"/>
  <c r="I241" i="12"/>
  <c r="K241" i="12" s="1"/>
  <c r="J241" i="12"/>
  <c r="J242" i="12"/>
  <c r="N243" i="12"/>
  <c r="N232" i="12" s="1"/>
  <c r="P243" i="12"/>
  <c r="L244" i="12"/>
  <c r="L245" i="12"/>
  <c r="L246" i="12"/>
  <c r="L247" i="12"/>
  <c r="I249" i="12"/>
  <c r="I242" i="12" s="1"/>
  <c r="K242" i="12" s="1"/>
  <c r="K251" i="12"/>
  <c r="K252" i="12"/>
  <c r="J253" i="12"/>
  <c r="J231" i="12" s="1"/>
  <c r="J185" i="12" s="1"/>
  <c r="N254" i="12"/>
  <c r="P254" i="12"/>
  <c r="L255" i="12"/>
  <c r="L256" i="12"/>
  <c r="L257" i="12"/>
  <c r="L258" i="12"/>
  <c r="I260" i="12"/>
  <c r="K262" i="12"/>
  <c r="K263" i="12"/>
  <c r="I265" i="12"/>
  <c r="J265" i="12"/>
  <c r="K265" i="12"/>
  <c r="L267" i="12"/>
  <c r="M267" i="12"/>
  <c r="N267" i="12"/>
  <c r="O270" i="12"/>
  <c r="P270" i="12"/>
  <c r="L271" i="12"/>
  <c r="M271" i="12"/>
  <c r="M269" i="12" s="1"/>
  <c r="P269" i="12" s="1"/>
  <c r="N271" i="12"/>
  <c r="O273" i="12"/>
  <c r="P273" i="12"/>
  <c r="L274" i="12"/>
  <c r="O274" i="12" s="1"/>
  <c r="M274" i="12"/>
  <c r="M272" i="12" s="1"/>
  <c r="P272" i="12" s="1"/>
  <c r="N274" i="12"/>
  <c r="N272" i="12" s="1"/>
  <c r="J281" i="12"/>
  <c r="L283" i="12"/>
  <c r="M283" i="12"/>
  <c r="N283" i="12"/>
  <c r="O283" i="12"/>
  <c r="P283" i="12"/>
  <c r="O286" i="12"/>
  <c r="P286" i="12"/>
  <c r="L287" i="12"/>
  <c r="L285" i="12" s="1"/>
  <c r="M287" i="12"/>
  <c r="M285" i="12" s="1"/>
  <c r="N287" i="12"/>
  <c r="N285" i="12" s="1"/>
  <c r="O289" i="12"/>
  <c r="P289" i="12"/>
  <c r="L290" i="12"/>
  <c r="O290" i="12" s="1"/>
  <c r="M290" i="12"/>
  <c r="P290" i="12" s="1"/>
  <c r="N290" i="12"/>
  <c r="N288" i="12" s="1"/>
  <c r="I292" i="12"/>
  <c r="I281" i="12" s="1"/>
  <c r="K281" i="12" s="1"/>
  <c r="I293" i="12"/>
  <c r="I280" i="12" s="1"/>
  <c r="K280" i="12" s="1"/>
  <c r="J293" i="12"/>
  <c r="J280" i="12" s="1"/>
  <c r="I295" i="12"/>
  <c r="K295" i="12" s="1"/>
  <c r="I296" i="12"/>
  <c r="K296" i="12" s="1"/>
  <c r="J302" i="12"/>
  <c r="L304" i="12"/>
  <c r="M304" i="12"/>
  <c r="N304" i="12"/>
  <c r="O307" i="12"/>
  <c r="P307" i="12"/>
  <c r="L308" i="12"/>
  <c r="L306" i="12" s="1"/>
  <c r="O306" i="12" s="1"/>
  <c r="M308" i="12"/>
  <c r="M306" i="12" s="1"/>
  <c r="P306" i="12" s="1"/>
  <c r="N308" i="12"/>
  <c r="N306" i="12" s="1"/>
  <c r="O310" i="12"/>
  <c r="P310" i="12"/>
  <c r="L311" i="12"/>
  <c r="L309" i="12" s="1"/>
  <c r="O309" i="12" s="1"/>
  <c r="M311" i="12"/>
  <c r="N311" i="12"/>
  <c r="N309" i="12" s="1"/>
  <c r="I314" i="12"/>
  <c r="I315" i="12"/>
  <c r="K315" i="12" s="1"/>
  <c r="I316" i="12"/>
  <c r="K316" i="12" s="1"/>
  <c r="I317" i="12"/>
  <c r="K317" i="12" s="1"/>
  <c r="J319" i="12"/>
  <c r="L321" i="12"/>
  <c r="O321" i="12" s="1"/>
  <c r="M321" i="12"/>
  <c r="N321" i="12"/>
  <c r="O324" i="12"/>
  <c r="P324" i="12"/>
  <c r="L325" i="12"/>
  <c r="O325" i="12" s="1"/>
  <c r="M325" i="12"/>
  <c r="N325" i="12"/>
  <c r="N323" i="12" s="1"/>
  <c r="O327" i="12"/>
  <c r="P327" i="12"/>
  <c r="L328" i="12"/>
  <c r="O328" i="12" s="1"/>
  <c r="M328" i="12"/>
  <c r="N328" i="12"/>
  <c r="N326" i="12" s="1"/>
  <c r="I330" i="12"/>
  <c r="K330" i="12" s="1"/>
  <c r="L334" i="12"/>
  <c r="M334" i="12"/>
  <c r="N334" i="12"/>
  <c r="O334" i="12"/>
  <c r="P334" i="12"/>
  <c r="O337" i="12"/>
  <c r="P337" i="12"/>
  <c r="L338" i="12"/>
  <c r="M338" i="12"/>
  <c r="M336" i="12" s="1"/>
  <c r="N338" i="12"/>
  <c r="O340" i="12"/>
  <c r="P340" i="12"/>
  <c r="L341" i="12"/>
  <c r="O341" i="12" s="1"/>
  <c r="M341" i="12"/>
  <c r="M339" i="12" s="1"/>
  <c r="P339" i="12" s="1"/>
  <c r="N341" i="12"/>
  <c r="N339" i="12" s="1"/>
  <c r="I344" i="12"/>
  <c r="I332" i="12" s="1"/>
  <c r="J344" i="12"/>
  <c r="I346" i="12"/>
  <c r="J346" i="12"/>
  <c r="J347" i="12"/>
  <c r="J348" i="12"/>
  <c r="J349" i="12"/>
  <c r="D350" i="12"/>
  <c r="J352" i="12"/>
  <c r="J353" i="12"/>
  <c r="D354" i="12"/>
  <c r="L357" i="12"/>
  <c r="O357" i="12" s="1"/>
  <c r="M357" i="12"/>
  <c r="N357" i="12"/>
  <c r="P357" i="12"/>
  <c r="O360" i="12"/>
  <c r="P360" i="12"/>
  <c r="L361" i="12"/>
  <c r="L359" i="12" s="1"/>
  <c r="M361" i="12"/>
  <c r="M359" i="12" s="1"/>
  <c r="N361" i="12"/>
  <c r="O363" i="12"/>
  <c r="P363" i="12"/>
  <c r="L364" i="12"/>
  <c r="O364" i="12" s="1"/>
  <c r="M364" i="12"/>
  <c r="M362" i="12" s="1"/>
  <c r="P362" i="12" s="1"/>
  <c r="N364" i="12"/>
  <c r="N362" i="12" s="1"/>
  <c r="J367" i="12"/>
  <c r="K367" i="12"/>
  <c r="I368" i="12"/>
  <c r="J368" i="12"/>
  <c r="I369" i="12"/>
  <c r="J369" i="12"/>
  <c r="J370" i="12"/>
  <c r="K370" i="12"/>
  <c r="I371" i="12"/>
  <c r="I365" i="12" s="1"/>
  <c r="J371" i="12"/>
  <c r="J365" i="12" s="1"/>
  <c r="J372" i="12"/>
  <c r="K372" i="12"/>
  <c r="D373" i="12"/>
  <c r="I376" i="12"/>
  <c r="K376" i="12" s="1"/>
  <c r="J376" i="12"/>
  <c r="L378" i="12"/>
  <c r="M378" i="12"/>
  <c r="N378" i="12"/>
  <c r="O378" i="12"/>
  <c r="P378" i="12"/>
  <c r="O381" i="12"/>
  <c r="P381" i="12"/>
  <c r="L382" i="12"/>
  <c r="L380" i="12" s="1"/>
  <c r="O380" i="12" s="1"/>
  <c r="M382" i="12"/>
  <c r="N382" i="12"/>
  <c r="N380" i="12" s="1"/>
  <c r="O384" i="12"/>
  <c r="P384" i="12"/>
  <c r="L385" i="12"/>
  <c r="L383" i="12" s="1"/>
  <c r="O383" i="12" s="1"/>
  <c r="M385" i="12"/>
  <c r="M383" i="12" s="1"/>
  <c r="P383" i="12" s="1"/>
  <c r="N385" i="12"/>
  <c r="N383" i="12" s="1"/>
  <c r="K387" i="12"/>
  <c r="K388" i="12"/>
  <c r="A391" i="12"/>
  <c r="L22" i="11"/>
  <c r="O22" i="11" s="1"/>
  <c r="M22" i="11"/>
  <c r="M19" i="11" s="1"/>
  <c r="N22" i="11"/>
  <c r="L25" i="11"/>
  <c r="L19" i="11" s="1"/>
  <c r="M25" i="11"/>
  <c r="N25" i="11"/>
  <c r="P25" i="11"/>
  <c r="L45" i="11"/>
  <c r="M45" i="11"/>
  <c r="N45" i="11"/>
  <c r="O45" i="11"/>
  <c r="P45" i="11"/>
  <c r="O48" i="11"/>
  <c r="P48" i="11"/>
  <c r="L49" i="11"/>
  <c r="M49" i="11"/>
  <c r="M47" i="11" s="1"/>
  <c r="N49" i="11"/>
  <c r="N47" i="11" s="1"/>
  <c r="O51" i="11"/>
  <c r="P51" i="11"/>
  <c r="L52" i="11"/>
  <c r="O52" i="11" s="1"/>
  <c r="M52" i="11"/>
  <c r="M50" i="11" s="1"/>
  <c r="P50" i="11" s="1"/>
  <c r="N52" i="11"/>
  <c r="L60" i="11"/>
  <c r="M60" i="11"/>
  <c r="N60" i="11"/>
  <c r="O63" i="11"/>
  <c r="P63" i="11"/>
  <c r="L64" i="11"/>
  <c r="M64" i="11"/>
  <c r="N64" i="11"/>
  <c r="O66" i="11"/>
  <c r="P66" i="11"/>
  <c r="L67" i="11"/>
  <c r="O67" i="11" s="1"/>
  <c r="M67" i="11"/>
  <c r="N67" i="11"/>
  <c r="N65" i="11" s="1"/>
  <c r="L73" i="11"/>
  <c r="M73" i="11"/>
  <c r="P73" i="11" s="1"/>
  <c r="N73" i="11"/>
  <c r="O73" i="11"/>
  <c r="O76" i="11"/>
  <c r="P76" i="11"/>
  <c r="L77" i="11"/>
  <c r="L75" i="11" s="1"/>
  <c r="O75" i="11" s="1"/>
  <c r="M77" i="11"/>
  <c r="M75" i="11" s="1"/>
  <c r="P75" i="11" s="1"/>
  <c r="N77" i="11"/>
  <c r="N75" i="11" s="1"/>
  <c r="O79" i="11"/>
  <c r="P79" i="11"/>
  <c r="L80" i="11"/>
  <c r="L78" i="11" s="1"/>
  <c r="O78" i="11" s="1"/>
  <c r="M80" i="11"/>
  <c r="M78" i="11" s="1"/>
  <c r="P78" i="11" s="1"/>
  <c r="N80" i="11"/>
  <c r="N78" i="11" s="1"/>
  <c r="J82" i="11"/>
  <c r="J70" i="11" s="1"/>
  <c r="J83" i="11"/>
  <c r="J71" i="11" s="1"/>
  <c r="I84" i="11"/>
  <c r="I85" i="11"/>
  <c r="K85" i="11" s="1"/>
  <c r="I86" i="11"/>
  <c r="K86" i="11" s="1"/>
  <c r="I87" i="11"/>
  <c r="K87" i="11" s="1"/>
  <c r="I88" i="11"/>
  <c r="K88" i="11" s="1"/>
  <c r="I89" i="11"/>
  <c r="K89" i="11" s="1"/>
  <c r="I90" i="11"/>
  <c r="K90" i="11" s="1"/>
  <c r="J92" i="11"/>
  <c r="J93" i="11"/>
  <c r="L95" i="11"/>
  <c r="M95" i="11"/>
  <c r="P95" i="11" s="1"/>
  <c r="N95" i="11"/>
  <c r="O95" i="11"/>
  <c r="O98" i="11"/>
  <c r="P98" i="11"/>
  <c r="L99" i="11"/>
  <c r="M99" i="11"/>
  <c r="N99" i="11"/>
  <c r="N97" i="11" s="1"/>
  <c r="O101" i="11"/>
  <c r="P101" i="11"/>
  <c r="L102" i="11"/>
  <c r="O102" i="11" s="1"/>
  <c r="M102" i="11"/>
  <c r="M100" i="11" s="1"/>
  <c r="P100" i="11" s="1"/>
  <c r="N102" i="11"/>
  <c r="N100" i="11" s="1"/>
  <c r="I108" i="11"/>
  <c r="I109" i="11"/>
  <c r="I93" i="11" s="1"/>
  <c r="K93" i="11" s="1"/>
  <c r="I117" i="11"/>
  <c r="K117" i="11" s="1"/>
  <c r="L126" i="11"/>
  <c r="O126" i="11" s="1"/>
  <c r="M126" i="11"/>
  <c r="N126" i="11"/>
  <c r="O129" i="11"/>
  <c r="P129" i="11"/>
  <c r="L130" i="11"/>
  <c r="O130" i="11" s="1"/>
  <c r="M130" i="11"/>
  <c r="P130" i="11" s="1"/>
  <c r="N130" i="11"/>
  <c r="N128" i="11" s="1"/>
  <c r="O132" i="11"/>
  <c r="P132" i="11"/>
  <c r="L133" i="11"/>
  <c r="L131" i="11" s="1"/>
  <c r="O131" i="11" s="1"/>
  <c r="M133" i="11"/>
  <c r="P133" i="11" s="1"/>
  <c r="N133" i="11"/>
  <c r="N131" i="11" s="1"/>
  <c r="J136" i="11"/>
  <c r="J137" i="11"/>
  <c r="J138" i="11"/>
  <c r="L140" i="11"/>
  <c r="O140" i="11" s="1"/>
  <c r="M140" i="11"/>
  <c r="N140" i="11"/>
  <c r="O143" i="11"/>
  <c r="P143" i="11"/>
  <c r="L144" i="11"/>
  <c r="M144" i="11"/>
  <c r="M142" i="11" s="1"/>
  <c r="N144" i="11"/>
  <c r="O146" i="11"/>
  <c r="P146" i="11"/>
  <c r="L147" i="11"/>
  <c r="L145" i="11" s="1"/>
  <c r="O145" i="11" s="1"/>
  <c r="M147" i="11"/>
  <c r="P147" i="11" s="1"/>
  <c r="N147" i="11"/>
  <c r="N145" i="11" s="1"/>
  <c r="I150" i="11"/>
  <c r="K150" i="11" s="1"/>
  <c r="I151" i="11"/>
  <c r="K151" i="11" s="1"/>
  <c r="I152" i="11"/>
  <c r="K152" i="11" s="1"/>
  <c r="I153" i="11"/>
  <c r="I138" i="11" s="1"/>
  <c r="K138" i="11" s="1"/>
  <c r="I154" i="11"/>
  <c r="K154" i="11" s="1"/>
  <c r="J156" i="11"/>
  <c r="L158" i="11"/>
  <c r="M158" i="11"/>
  <c r="N158" i="11"/>
  <c r="O158" i="11"/>
  <c r="P158" i="11"/>
  <c r="O161" i="11"/>
  <c r="P161" i="11"/>
  <c r="L162" i="11"/>
  <c r="L160" i="11" s="1"/>
  <c r="O160" i="11" s="1"/>
  <c r="M162" i="11"/>
  <c r="M160" i="11" s="1"/>
  <c r="P160" i="11" s="1"/>
  <c r="N162" i="11"/>
  <c r="N160" i="11" s="1"/>
  <c r="O164" i="11"/>
  <c r="P164" i="11"/>
  <c r="L165" i="11"/>
  <c r="L163" i="11" s="1"/>
  <c r="O163" i="11" s="1"/>
  <c r="M165" i="11"/>
  <c r="M163" i="11" s="1"/>
  <c r="P163" i="11" s="1"/>
  <c r="N165" i="11"/>
  <c r="N163" i="11" s="1"/>
  <c r="I167" i="11"/>
  <c r="K167" i="11" s="1"/>
  <c r="I168" i="11"/>
  <c r="K168" i="11" s="1"/>
  <c r="I169" i="11"/>
  <c r="I156" i="11" s="1"/>
  <c r="K156" i="11" s="1"/>
  <c r="J172" i="11"/>
  <c r="L174" i="11"/>
  <c r="O174" i="11" s="1"/>
  <c r="M174" i="11"/>
  <c r="N174" i="11"/>
  <c r="P174" i="11"/>
  <c r="O177" i="11"/>
  <c r="P177" i="11"/>
  <c r="L178" i="11"/>
  <c r="L176" i="11" s="1"/>
  <c r="M178" i="11"/>
  <c r="M176" i="11" s="1"/>
  <c r="N178" i="11"/>
  <c r="N176" i="11" s="1"/>
  <c r="O180" i="11"/>
  <c r="P180" i="11"/>
  <c r="L181" i="11"/>
  <c r="L179" i="11" s="1"/>
  <c r="O179" i="11" s="1"/>
  <c r="M181" i="11"/>
  <c r="M179" i="11" s="1"/>
  <c r="P179" i="11" s="1"/>
  <c r="N181" i="11"/>
  <c r="N179" i="11" s="1"/>
  <c r="I183" i="11"/>
  <c r="I172" i="11" s="1"/>
  <c r="K184" i="11"/>
  <c r="L187" i="11"/>
  <c r="M187" i="11"/>
  <c r="N187" i="11"/>
  <c r="O190" i="11"/>
  <c r="P190" i="11"/>
  <c r="L191" i="11"/>
  <c r="M191" i="11"/>
  <c r="N191" i="11"/>
  <c r="N189" i="11" s="1"/>
  <c r="O193" i="11"/>
  <c r="P193" i="11"/>
  <c r="L194" i="11"/>
  <c r="O194" i="11" s="1"/>
  <c r="M194" i="11"/>
  <c r="N194" i="11"/>
  <c r="N192" i="11" s="1"/>
  <c r="J195" i="11"/>
  <c r="L196" i="11"/>
  <c r="O196" i="11" s="1"/>
  <c r="P196" i="11"/>
  <c r="I198" i="11"/>
  <c r="I195" i="11" s="1"/>
  <c r="J199" i="11"/>
  <c r="J202" i="11"/>
  <c r="N203" i="11"/>
  <c r="P203" i="11"/>
  <c r="L204" i="11"/>
  <c r="L205" i="11"/>
  <c r="L206" i="11"/>
  <c r="L207" i="11"/>
  <c r="I209" i="11"/>
  <c r="I211" i="11"/>
  <c r="K211" i="11" s="1"/>
  <c r="I212" i="11"/>
  <c r="K212" i="11" s="1"/>
  <c r="J213" i="11"/>
  <c r="N214" i="11"/>
  <c r="P214" i="11"/>
  <c r="L215" i="11"/>
  <c r="L216" i="11"/>
  <c r="L217" i="11"/>
  <c r="I219" i="11"/>
  <c r="K219" i="11" s="1"/>
  <c r="I220" i="11"/>
  <c r="K220" i="11" s="1"/>
  <c r="J221" i="11"/>
  <c r="N222" i="11"/>
  <c r="P222" i="11"/>
  <c r="L223" i="11"/>
  <c r="L224" i="11"/>
  <c r="L225" i="11"/>
  <c r="I228" i="11"/>
  <c r="K228" i="11" s="1"/>
  <c r="I229" i="11"/>
  <c r="I221" i="11" s="1"/>
  <c r="I230" i="11"/>
  <c r="N233" i="11"/>
  <c r="N234" i="11"/>
  <c r="N235" i="11"/>
  <c r="N236" i="11"/>
  <c r="J238" i="11"/>
  <c r="I240" i="11"/>
  <c r="J240" i="11"/>
  <c r="K240" i="11"/>
  <c r="I241" i="11"/>
  <c r="K241" i="11" s="1"/>
  <c r="J241" i="11"/>
  <c r="J242" i="11"/>
  <c r="J231" i="11" s="1"/>
  <c r="J185" i="11" s="1"/>
  <c r="N243" i="11"/>
  <c r="N232" i="11" s="1"/>
  <c r="P243" i="11"/>
  <c r="L244" i="11"/>
  <c r="L245" i="11"/>
  <c r="L246" i="11"/>
  <c r="L247" i="11"/>
  <c r="I249" i="11"/>
  <c r="K251" i="11"/>
  <c r="K252" i="11"/>
  <c r="J253" i="11"/>
  <c r="N254" i="11"/>
  <c r="P254" i="11"/>
  <c r="L255" i="11"/>
  <c r="L256" i="11"/>
  <c r="L257" i="11"/>
  <c r="L258" i="11"/>
  <c r="I260" i="11"/>
  <c r="K262" i="11"/>
  <c r="K263" i="11"/>
  <c r="I265" i="11"/>
  <c r="K265" i="11" s="1"/>
  <c r="J265" i="11"/>
  <c r="L267" i="11"/>
  <c r="M267" i="11"/>
  <c r="N267" i="11"/>
  <c r="O270" i="11"/>
  <c r="P270" i="11"/>
  <c r="L271" i="11"/>
  <c r="O271" i="11" s="1"/>
  <c r="M271" i="11"/>
  <c r="N271" i="11"/>
  <c r="O273" i="11"/>
  <c r="P273" i="11"/>
  <c r="L274" i="11"/>
  <c r="O274" i="11" s="1"/>
  <c r="M274" i="11"/>
  <c r="N274" i="11"/>
  <c r="N272" i="11" s="1"/>
  <c r="J281" i="11"/>
  <c r="L283" i="11"/>
  <c r="O283" i="11" s="1"/>
  <c r="M283" i="11"/>
  <c r="N283" i="11"/>
  <c r="P283" i="11"/>
  <c r="O286" i="11"/>
  <c r="P286" i="11"/>
  <c r="L287" i="11"/>
  <c r="L285" i="11" s="1"/>
  <c r="M287" i="11"/>
  <c r="M285" i="11" s="1"/>
  <c r="N287" i="11"/>
  <c r="N285" i="11" s="1"/>
  <c r="O289" i="11"/>
  <c r="P289" i="11"/>
  <c r="L290" i="11"/>
  <c r="O290" i="11" s="1"/>
  <c r="M290" i="11"/>
  <c r="M288" i="11" s="1"/>
  <c r="P288" i="11" s="1"/>
  <c r="N290" i="11"/>
  <c r="N288" i="11" s="1"/>
  <c r="I292" i="11"/>
  <c r="I281" i="11" s="1"/>
  <c r="K281" i="11" s="1"/>
  <c r="I293" i="11"/>
  <c r="I280" i="11" s="1"/>
  <c r="J293" i="11"/>
  <c r="J280" i="11" s="1"/>
  <c r="I295" i="11"/>
  <c r="K295" i="11" s="1"/>
  <c r="I296" i="11"/>
  <c r="K296" i="11" s="1"/>
  <c r="J302" i="11"/>
  <c r="L304" i="11"/>
  <c r="M304" i="11"/>
  <c r="N304" i="11"/>
  <c r="O307" i="11"/>
  <c r="P307" i="11"/>
  <c r="L308" i="11"/>
  <c r="O308" i="11" s="1"/>
  <c r="M308" i="11"/>
  <c r="M306" i="11" s="1"/>
  <c r="P306" i="11" s="1"/>
  <c r="N308" i="11"/>
  <c r="O310" i="11"/>
  <c r="P310" i="11"/>
  <c r="L311" i="11"/>
  <c r="O311" i="11" s="1"/>
  <c r="M311" i="11"/>
  <c r="M309" i="11" s="1"/>
  <c r="P309" i="11" s="1"/>
  <c r="N311" i="11"/>
  <c r="N309" i="11" s="1"/>
  <c r="I314" i="11"/>
  <c r="I315" i="11"/>
  <c r="K315" i="11" s="1"/>
  <c r="I316" i="11"/>
  <c r="K316" i="11" s="1"/>
  <c r="I317" i="11"/>
  <c r="K317" i="11" s="1"/>
  <c r="J319" i="11"/>
  <c r="L321" i="11"/>
  <c r="O321" i="11" s="1"/>
  <c r="M321" i="11"/>
  <c r="N321" i="11"/>
  <c r="O324" i="11"/>
  <c r="P324" i="11"/>
  <c r="L325" i="11"/>
  <c r="M325" i="11"/>
  <c r="N325" i="11"/>
  <c r="N323" i="11" s="1"/>
  <c r="O327" i="11"/>
  <c r="P327" i="11"/>
  <c r="L328" i="11"/>
  <c r="O328" i="11" s="1"/>
  <c r="M328" i="11"/>
  <c r="P328" i="11" s="1"/>
  <c r="N328" i="11"/>
  <c r="N326" i="11" s="1"/>
  <c r="I330" i="11"/>
  <c r="K330" i="11" s="1"/>
  <c r="L334" i="11"/>
  <c r="M334" i="11"/>
  <c r="N334" i="11"/>
  <c r="O334" i="11"/>
  <c r="P334" i="11"/>
  <c r="O337" i="11"/>
  <c r="P337" i="11"/>
  <c r="L338" i="11"/>
  <c r="M338" i="11"/>
  <c r="M336" i="11" s="1"/>
  <c r="N338" i="11"/>
  <c r="N336" i="11" s="1"/>
  <c r="O340" i="11"/>
  <c r="P340" i="11"/>
  <c r="L341" i="11"/>
  <c r="L339" i="11" s="1"/>
  <c r="O339" i="11" s="1"/>
  <c r="M341" i="11"/>
  <c r="P341" i="11" s="1"/>
  <c r="N341" i="11"/>
  <c r="N339" i="11" s="1"/>
  <c r="I344" i="11"/>
  <c r="I332" i="11" s="1"/>
  <c r="J344" i="11"/>
  <c r="I346" i="11"/>
  <c r="J346" i="11"/>
  <c r="J347" i="11"/>
  <c r="J348" i="11"/>
  <c r="J349" i="11"/>
  <c r="D350" i="11"/>
  <c r="J352" i="11"/>
  <c r="J353" i="11"/>
  <c r="D354" i="11"/>
  <c r="L357" i="11"/>
  <c r="O357" i="11" s="1"/>
  <c r="M357" i="11"/>
  <c r="N357" i="11"/>
  <c r="O360" i="11"/>
  <c r="P360" i="11"/>
  <c r="L361" i="11"/>
  <c r="L359" i="11" s="1"/>
  <c r="M361" i="11"/>
  <c r="N361" i="11"/>
  <c r="O363" i="11"/>
  <c r="P363" i="11"/>
  <c r="L364" i="11"/>
  <c r="L362" i="11" s="1"/>
  <c r="O362" i="11" s="1"/>
  <c r="M364" i="11"/>
  <c r="P364" i="11" s="1"/>
  <c r="N364" i="11"/>
  <c r="N362" i="11" s="1"/>
  <c r="J367" i="11"/>
  <c r="K367" i="11"/>
  <c r="I368" i="11"/>
  <c r="J368" i="11"/>
  <c r="I369" i="11"/>
  <c r="J369" i="11"/>
  <c r="J370" i="11"/>
  <c r="K370" i="11"/>
  <c r="I371" i="11"/>
  <c r="I365" i="11" s="1"/>
  <c r="J371" i="11"/>
  <c r="J365" i="11" s="1"/>
  <c r="J372" i="11"/>
  <c r="K372" i="11"/>
  <c r="D373" i="11"/>
  <c r="I376" i="11"/>
  <c r="K376" i="11" s="1"/>
  <c r="J376" i="11"/>
  <c r="L378" i="11"/>
  <c r="M378" i="11"/>
  <c r="N378" i="11"/>
  <c r="O381" i="11"/>
  <c r="P381" i="11"/>
  <c r="L382" i="11"/>
  <c r="O382" i="11" s="1"/>
  <c r="M382" i="11"/>
  <c r="P382" i="11" s="1"/>
  <c r="N382" i="11"/>
  <c r="N380" i="11" s="1"/>
  <c r="O384" i="11"/>
  <c r="P384" i="11"/>
  <c r="L385" i="11"/>
  <c r="O385" i="11" s="1"/>
  <c r="M385" i="11"/>
  <c r="P385" i="11" s="1"/>
  <c r="N385" i="11"/>
  <c r="N383" i="11" s="1"/>
  <c r="K387" i="11"/>
  <c r="K388" i="11"/>
  <c r="A391" i="11"/>
  <c r="L22" i="10"/>
  <c r="M22" i="10"/>
  <c r="N22" i="10"/>
  <c r="O22" i="10"/>
  <c r="L25" i="10"/>
  <c r="L19" i="10" s="1"/>
  <c r="M25" i="10"/>
  <c r="N25" i="10"/>
  <c r="P25" i="10"/>
  <c r="L45" i="10"/>
  <c r="M45" i="10"/>
  <c r="P45" i="10" s="1"/>
  <c r="N45" i="10"/>
  <c r="O45" i="10"/>
  <c r="O48" i="10"/>
  <c r="P48" i="10"/>
  <c r="L49" i="10"/>
  <c r="L47" i="10" s="1"/>
  <c r="M49" i="10"/>
  <c r="M47" i="10" s="1"/>
  <c r="N49" i="10"/>
  <c r="N47" i="10" s="1"/>
  <c r="O51" i="10"/>
  <c r="P51" i="10"/>
  <c r="L52" i="10"/>
  <c r="L50" i="10" s="1"/>
  <c r="O50" i="10" s="1"/>
  <c r="M52" i="10"/>
  <c r="M50" i="10" s="1"/>
  <c r="P50" i="10" s="1"/>
  <c r="N52" i="10"/>
  <c r="N50" i="10" s="1"/>
  <c r="L60" i="10"/>
  <c r="M60" i="10"/>
  <c r="N60" i="10"/>
  <c r="O63" i="10"/>
  <c r="P63" i="10"/>
  <c r="L64" i="10"/>
  <c r="M64" i="10"/>
  <c r="N64" i="10"/>
  <c r="N62" i="10" s="1"/>
  <c r="O66" i="10"/>
  <c r="P66" i="10"/>
  <c r="L67" i="10"/>
  <c r="M67" i="10"/>
  <c r="M65" i="10" s="1"/>
  <c r="P65" i="10" s="1"/>
  <c r="N67" i="10"/>
  <c r="N65" i="10" s="1"/>
  <c r="L73" i="10"/>
  <c r="M73" i="10"/>
  <c r="N73" i="10"/>
  <c r="O73" i="10"/>
  <c r="P73" i="10"/>
  <c r="O76" i="10"/>
  <c r="P76" i="10"/>
  <c r="L77" i="10"/>
  <c r="M77" i="10"/>
  <c r="M75" i="10" s="1"/>
  <c r="P75" i="10" s="1"/>
  <c r="N77" i="10"/>
  <c r="N75" i="10" s="1"/>
  <c r="O79" i="10"/>
  <c r="P79" i="10"/>
  <c r="L80" i="10"/>
  <c r="L78" i="10" s="1"/>
  <c r="O78" i="10" s="1"/>
  <c r="M80" i="10"/>
  <c r="M78" i="10" s="1"/>
  <c r="P78" i="10" s="1"/>
  <c r="N80" i="10"/>
  <c r="N78" i="10" s="1"/>
  <c r="J82" i="10"/>
  <c r="J70" i="10" s="1"/>
  <c r="J83" i="10"/>
  <c r="J71" i="10" s="1"/>
  <c r="I84" i="10"/>
  <c r="I85" i="10"/>
  <c r="I86" i="10"/>
  <c r="K86" i="10" s="1"/>
  <c r="I87" i="10"/>
  <c r="K87" i="10" s="1"/>
  <c r="I88" i="10"/>
  <c r="K88" i="10" s="1"/>
  <c r="I89" i="10"/>
  <c r="K89" i="10" s="1"/>
  <c r="I90" i="10"/>
  <c r="K90" i="10" s="1"/>
  <c r="J92" i="10"/>
  <c r="J93" i="10"/>
  <c r="L95" i="10"/>
  <c r="O95" i="10" s="1"/>
  <c r="M95" i="10"/>
  <c r="P95" i="10" s="1"/>
  <c r="N95" i="10"/>
  <c r="O98" i="10"/>
  <c r="P98" i="10"/>
  <c r="L99" i="10"/>
  <c r="M99" i="10"/>
  <c r="M97" i="10" s="1"/>
  <c r="P97" i="10" s="1"/>
  <c r="N99" i="10"/>
  <c r="N97" i="10" s="1"/>
  <c r="O101" i="10"/>
  <c r="P101" i="10"/>
  <c r="L102" i="10"/>
  <c r="O102" i="10" s="1"/>
  <c r="M102" i="10"/>
  <c r="M100" i="10" s="1"/>
  <c r="P100" i="10" s="1"/>
  <c r="N102" i="10"/>
  <c r="N100" i="10" s="1"/>
  <c r="I108" i="10"/>
  <c r="I109" i="10"/>
  <c r="I93" i="10" s="1"/>
  <c r="K93" i="10" s="1"/>
  <c r="I117" i="10"/>
  <c r="K117" i="10" s="1"/>
  <c r="L126" i="10"/>
  <c r="O126" i="10" s="1"/>
  <c r="M126" i="10"/>
  <c r="N126" i="10"/>
  <c r="O129" i="10"/>
  <c r="P129" i="10"/>
  <c r="L130" i="10"/>
  <c r="L128" i="10" s="1"/>
  <c r="O128" i="10" s="1"/>
  <c r="M130" i="10"/>
  <c r="N130" i="10"/>
  <c r="N128" i="10" s="1"/>
  <c r="O132" i="10"/>
  <c r="P132" i="10"/>
  <c r="L133" i="10"/>
  <c r="L131" i="10" s="1"/>
  <c r="O131" i="10" s="1"/>
  <c r="M133" i="10"/>
  <c r="N133" i="10"/>
  <c r="N131" i="10" s="1"/>
  <c r="J136" i="10"/>
  <c r="J137" i="10"/>
  <c r="J138" i="10"/>
  <c r="L140" i="10"/>
  <c r="M140" i="10"/>
  <c r="P140" i="10" s="1"/>
  <c r="N140" i="10"/>
  <c r="O140" i="10"/>
  <c r="O143" i="10"/>
  <c r="P143" i="10"/>
  <c r="L144" i="10"/>
  <c r="M144" i="10"/>
  <c r="M142" i="10" s="1"/>
  <c r="N144" i="10"/>
  <c r="N142" i="10" s="1"/>
  <c r="O146" i="10"/>
  <c r="P146" i="10"/>
  <c r="L147" i="10"/>
  <c r="L145" i="10" s="1"/>
  <c r="O145" i="10" s="1"/>
  <c r="M147" i="10"/>
  <c r="M145" i="10" s="1"/>
  <c r="P145" i="10" s="1"/>
  <c r="N147" i="10"/>
  <c r="N145" i="10" s="1"/>
  <c r="I150" i="10"/>
  <c r="K150" i="10" s="1"/>
  <c r="I151" i="10"/>
  <c r="K151" i="10" s="1"/>
  <c r="I152" i="10"/>
  <c r="K152" i="10" s="1"/>
  <c r="I153" i="10"/>
  <c r="I138" i="10" s="1"/>
  <c r="K138" i="10" s="1"/>
  <c r="I154" i="10"/>
  <c r="I136" i="10" s="1"/>
  <c r="K136" i="10" s="1"/>
  <c r="J156" i="10"/>
  <c r="L158" i="10"/>
  <c r="M158" i="10"/>
  <c r="P158" i="10" s="1"/>
  <c r="N158" i="10"/>
  <c r="O158" i="10"/>
  <c r="O161" i="10"/>
  <c r="P161" i="10"/>
  <c r="L162" i="10"/>
  <c r="L160" i="10" s="1"/>
  <c r="M162" i="10"/>
  <c r="P162" i="10" s="1"/>
  <c r="N162" i="10"/>
  <c r="O164" i="10"/>
  <c r="P164" i="10"/>
  <c r="L165" i="10"/>
  <c r="L163" i="10" s="1"/>
  <c r="O163" i="10" s="1"/>
  <c r="M165" i="10"/>
  <c r="M163" i="10" s="1"/>
  <c r="P163" i="10" s="1"/>
  <c r="N165" i="10"/>
  <c r="N163" i="10" s="1"/>
  <c r="I167" i="10"/>
  <c r="I168" i="10" s="1"/>
  <c r="K168" i="10" s="1"/>
  <c r="J172" i="10"/>
  <c r="L174" i="10"/>
  <c r="O174" i="10" s="1"/>
  <c r="M174" i="10"/>
  <c r="N174" i="10"/>
  <c r="P174" i="10"/>
  <c r="O177" i="10"/>
  <c r="P177" i="10"/>
  <c r="L178" i="10"/>
  <c r="L176" i="10" s="1"/>
  <c r="M178" i="10"/>
  <c r="M176" i="10" s="1"/>
  <c r="N178" i="10"/>
  <c r="O180" i="10"/>
  <c r="P180" i="10"/>
  <c r="L181" i="10"/>
  <c r="O181" i="10" s="1"/>
  <c r="M181" i="10"/>
  <c r="M179" i="10" s="1"/>
  <c r="P179" i="10" s="1"/>
  <c r="N181" i="10"/>
  <c r="N179" i="10" s="1"/>
  <c r="I183" i="10"/>
  <c r="I172" i="10" s="1"/>
  <c r="K184" i="10"/>
  <c r="L187" i="10"/>
  <c r="O187" i="10" s="1"/>
  <c r="M187" i="10"/>
  <c r="P187" i="10" s="1"/>
  <c r="N187" i="10"/>
  <c r="O190" i="10"/>
  <c r="P190" i="10"/>
  <c r="L191" i="10"/>
  <c r="L189" i="10" s="1"/>
  <c r="M191" i="10"/>
  <c r="N191" i="10"/>
  <c r="O193" i="10"/>
  <c r="P193" i="10"/>
  <c r="L194" i="10"/>
  <c r="L192" i="10" s="1"/>
  <c r="O192" i="10" s="1"/>
  <c r="M194" i="10"/>
  <c r="P194" i="10" s="1"/>
  <c r="N194" i="10"/>
  <c r="N192" i="10" s="1"/>
  <c r="J195" i="10"/>
  <c r="L196" i="10"/>
  <c r="O196" i="10" s="1"/>
  <c r="P196" i="10"/>
  <c r="I198" i="10"/>
  <c r="I195" i="10" s="1"/>
  <c r="K195" i="10" s="1"/>
  <c r="J199" i="10"/>
  <c r="J202" i="10"/>
  <c r="N203" i="10"/>
  <c r="P203" i="10"/>
  <c r="L204" i="10"/>
  <c r="L205" i="10"/>
  <c r="L206" i="10"/>
  <c r="L207" i="10"/>
  <c r="I209" i="10"/>
  <c r="K209" i="10" s="1"/>
  <c r="I211" i="10"/>
  <c r="K211" i="10" s="1"/>
  <c r="I212" i="10"/>
  <c r="K212" i="10" s="1"/>
  <c r="J213" i="10"/>
  <c r="N214" i="10"/>
  <c r="P214" i="10"/>
  <c r="L215" i="10"/>
  <c r="L216" i="10"/>
  <c r="L217" i="10"/>
  <c r="I219" i="10"/>
  <c r="K219" i="10" s="1"/>
  <c r="I220" i="10"/>
  <c r="K220" i="10" s="1"/>
  <c r="J221" i="10"/>
  <c r="N222" i="10"/>
  <c r="P222" i="10"/>
  <c r="L223" i="10"/>
  <c r="L224" i="10"/>
  <c r="L225" i="10"/>
  <c r="I228" i="10"/>
  <c r="K228" i="10" s="1"/>
  <c r="I229" i="10"/>
  <c r="K229" i="10" s="1"/>
  <c r="I230" i="10"/>
  <c r="K230" i="10" s="1"/>
  <c r="N233" i="10"/>
  <c r="N234" i="10"/>
  <c r="N235" i="10"/>
  <c r="N236" i="10"/>
  <c r="J238" i="10"/>
  <c r="I240" i="10"/>
  <c r="J240" i="10"/>
  <c r="K240" i="10"/>
  <c r="I241" i="10"/>
  <c r="K241" i="10" s="1"/>
  <c r="J241" i="10"/>
  <c r="J242" i="10"/>
  <c r="J231" i="10" s="1"/>
  <c r="J185" i="10" s="1"/>
  <c r="N243" i="10"/>
  <c r="P243" i="10"/>
  <c r="L244" i="10"/>
  <c r="L245" i="10"/>
  <c r="L246" i="10"/>
  <c r="L247" i="10"/>
  <c r="I249" i="10"/>
  <c r="I242" i="10" s="1"/>
  <c r="K242" i="10" s="1"/>
  <c r="K251" i="10"/>
  <c r="K252" i="10"/>
  <c r="J253" i="10"/>
  <c r="N254" i="10"/>
  <c r="P254" i="10"/>
  <c r="L255" i="10"/>
  <c r="L256" i="10"/>
  <c r="L257" i="10"/>
  <c r="L258" i="10"/>
  <c r="I260" i="10"/>
  <c r="K262" i="10"/>
  <c r="K263" i="10"/>
  <c r="I265" i="10"/>
  <c r="J265" i="10"/>
  <c r="K265" i="10"/>
  <c r="L267" i="10"/>
  <c r="O267" i="10" s="1"/>
  <c r="M267" i="10"/>
  <c r="P267" i="10" s="1"/>
  <c r="N267" i="10"/>
  <c r="O270" i="10"/>
  <c r="P270" i="10"/>
  <c r="L271" i="10"/>
  <c r="L269" i="10" s="1"/>
  <c r="O269" i="10" s="1"/>
  <c r="M271" i="10"/>
  <c r="P271" i="10" s="1"/>
  <c r="N271" i="10"/>
  <c r="N269" i="10" s="1"/>
  <c r="O273" i="10"/>
  <c r="P273" i="10"/>
  <c r="L274" i="10"/>
  <c r="L272" i="10" s="1"/>
  <c r="O272" i="10" s="1"/>
  <c r="M274" i="10"/>
  <c r="P274" i="10" s="1"/>
  <c r="N274" i="10"/>
  <c r="N272" i="10" s="1"/>
  <c r="J281" i="10"/>
  <c r="L283" i="10"/>
  <c r="O283" i="10" s="1"/>
  <c r="M283" i="10"/>
  <c r="N283" i="10"/>
  <c r="P283" i="10"/>
  <c r="O286" i="10"/>
  <c r="P286" i="10"/>
  <c r="L287" i="10"/>
  <c r="L285" i="10" s="1"/>
  <c r="M287" i="10"/>
  <c r="N287" i="10"/>
  <c r="N285" i="10" s="1"/>
  <c r="O289" i="10"/>
  <c r="P289" i="10"/>
  <c r="L290" i="10"/>
  <c r="L288" i="10" s="1"/>
  <c r="O288" i="10" s="1"/>
  <c r="M290" i="10"/>
  <c r="P290" i="10" s="1"/>
  <c r="N290" i="10"/>
  <c r="N288" i="10" s="1"/>
  <c r="I292" i="10"/>
  <c r="I281" i="10" s="1"/>
  <c r="I293" i="10"/>
  <c r="I280" i="10" s="1"/>
  <c r="J293" i="10"/>
  <c r="J280" i="10" s="1"/>
  <c r="I295" i="10"/>
  <c r="K295" i="10" s="1"/>
  <c r="I296" i="10"/>
  <c r="K296" i="10" s="1"/>
  <c r="J302" i="10"/>
  <c r="L304" i="10"/>
  <c r="O304" i="10" s="1"/>
  <c r="M304" i="10"/>
  <c r="P304" i="10" s="1"/>
  <c r="N304" i="10"/>
  <c r="O307" i="10"/>
  <c r="P307" i="10"/>
  <c r="L308" i="10"/>
  <c r="L306" i="10" s="1"/>
  <c r="M308" i="10"/>
  <c r="N308" i="10"/>
  <c r="O310" i="10"/>
  <c r="P310" i="10"/>
  <c r="L311" i="10"/>
  <c r="L309" i="10" s="1"/>
  <c r="O309" i="10" s="1"/>
  <c r="M311" i="10"/>
  <c r="P311" i="10" s="1"/>
  <c r="N311" i="10"/>
  <c r="N309" i="10" s="1"/>
  <c r="I314" i="10"/>
  <c r="I302" i="10" s="1"/>
  <c r="I315" i="10"/>
  <c r="K315" i="10" s="1"/>
  <c r="I316" i="10"/>
  <c r="K316" i="10" s="1"/>
  <c r="I317" i="10"/>
  <c r="K317" i="10" s="1"/>
  <c r="J319" i="10"/>
  <c r="L321" i="10"/>
  <c r="M321" i="10"/>
  <c r="N321" i="10"/>
  <c r="O321" i="10"/>
  <c r="P321" i="10"/>
  <c r="O324" i="10"/>
  <c r="P324" i="10"/>
  <c r="L325" i="10"/>
  <c r="O325" i="10" s="1"/>
  <c r="M325" i="10"/>
  <c r="N325" i="10"/>
  <c r="O327" i="10"/>
  <c r="P327" i="10"/>
  <c r="L328" i="10"/>
  <c r="O328" i="10" s="1"/>
  <c r="M328" i="10"/>
  <c r="M326" i="10" s="1"/>
  <c r="P326" i="10" s="1"/>
  <c r="N328" i="10"/>
  <c r="N326" i="10" s="1"/>
  <c r="I330" i="10"/>
  <c r="I319" i="10" s="1"/>
  <c r="K319" i="10" s="1"/>
  <c r="L334" i="10"/>
  <c r="M334" i="10"/>
  <c r="N334" i="10"/>
  <c r="O334" i="10"/>
  <c r="P334" i="10"/>
  <c r="O337" i="10"/>
  <c r="P337" i="10"/>
  <c r="L338" i="10"/>
  <c r="M338" i="10"/>
  <c r="M336" i="10" s="1"/>
  <c r="N338" i="10"/>
  <c r="N336" i="10" s="1"/>
  <c r="O340" i="10"/>
  <c r="P340" i="10"/>
  <c r="L341" i="10"/>
  <c r="L339" i="10" s="1"/>
  <c r="O339" i="10" s="1"/>
  <c r="M341" i="10"/>
  <c r="P341" i="10" s="1"/>
  <c r="N341" i="10"/>
  <c r="N339" i="10" s="1"/>
  <c r="I344" i="10"/>
  <c r="J344" i="10"/>
  <c r="I346" i="10"/>
  <c r="J346" i="10"/>
  <c r="J347" i="10"/>
  <c r="J348" i="10"/>
  <c r="J349" i="10"/>
  <c r="D350" i="10"/>
  <c r="J352" i="10"/>
  <c r="J353" i="10"/>
  <c r="D354" i="10"/>
  <c r="L357" i="10"/>
  <c r="O357" i="10" s="1"/>
  <c r="M357" i="10"/>
  <c r="P357" i="10" s="1"/>
  <c r="N357" i="10"/>
  <c r="O360" i="10"/>
  <c r="P360" i="10"/>
  <c r="L361" i="10"/>
  <c r="M361" i="10"/>
  <c r="N361" i="10"/>
  <c r="N359" i="10" s="1"/>
  <c r="O363" i="10"/>
  <c r="P363" i="10"/>
  <c r="L364" i="10"/>
  <c r="L362" i="10" s="1"/>
  <c r="O362" i="10" s="1"/>
  <c r="M364" i="10"/>
  <c r="M362" i="10" s="1"/>
  <c r="P362" i="10" s="1"/>
  <c r="N364" i="10"/>
  <c r="N362" i="10" s="1"/>
  <c r="J367" i="10"/>
  <c r="K367" i="10"/>
  <c r="I368" i="10"/>
  <c r="J368" i="10"/>
  <c r="I369" i="10"/>
  <c r="J369" i="10"/>
  <c r="J370" i="10"/>
  <c r="K370" i="10"/>
  <c r="I371" i="10"/>
  <c r="I365" i="10" s="1"/>
  <c r="J371" i="10"/>
  <c r="J365" i="10" s="1"/>
  <c r="J372" i="10"/>
  <c r="K372" i="10"/>
  <c r="D373" i="10"/>
  <c r="I376" i="10"/>
  <c r="K376" i="10" s="1"/>
  <c r="J376" i="10"/>
  <c r="L378" i="10"/>
  <c r="M378" i="10"/>
  <c r="P378" i="10" s="1"/>
  <c r="N378" i="10"/>
  <c r="O378" i="10"/>
  <c r="O381" i="10"/>
  <c r="P381" i="10"/>
  <c r="L382" i="10"/>
  <c r="L380" i="10" s="1"/>
  <c r="O380" i="10" s="1"/>
  <c r="M382" i="10"/>
  <c r="M380" i="10" s="1"/>
  <c r="P380" i="10" s="1"/>
  <c r="N382" i="10"/>
  <c r="N380" i="10" s="1"/>
  <c r="O384" i="10"/>
  <c r="P384" i="10"/>
  <c r="L385" i="10"/>
  <c r="L383" i="10" s="1"/>
  <c r="O383" i="10" s="1"/>
  <c r="M385" i="10"/>
  <c r="M383" i="10" s="1"/>
  <c r="P383" i="10" s="1"/>
  <c r="N385" i="10"/>
  <c r="N383" i="10" s="1"/>
  <c r="K387" i="10"/>
  <c r="K388" i="10"/>
  <c r="A391" i="10"/>
  <c r="L22" i="9"/>
  <c r="M22" i="9"/>
  <c r="N22" i="9"/>
  <c r="L25" i="9"/>
  <c r="O25" i="9" s="1"/>
  <c r="M25" i="9"/>
  <c r="P25" i="9" s="1"/>
  <c r="N25" i="9"/>
  <c r="L45" i="9"/>
  <c r="M45" i="9"/>
  <c r="P45" i="9" s="1"/>
  <c r="N45" i="9"/>
  <c r="O45" i="9"/>
  <c r="O48" i="9"/>
  <c r="P48" i="9"/>
  <c r="L49" i="9"/>
  <c r="M49" i="9"/>
  <c r="N49" i="9"/>
  <c r="N47" i="9" s="1"/>
  <c r="O51" i="9"/>
  <c r="P51" i="9"/>
  <c r="L52" i="9"/>
  <c r="O52" i="9" s="1"/>
  <c r="M52" i="9"/>
  <c r="N52" i="9"/>
  <c r="L60" i="9"/>
  <c r="O60" i="9" s="1"/>
  <c r="M60" i="9"/>
  <c r="P60" i="9" s="1"/>
  <c r="N60" i="9"/>
  <c r="O63" i="9"/>
  <c r="P63" i="9"/>
  <c r="L64" i="9"/>
  <c r="L62" i="9" s="1"/>
  <c r="M64" i="9"/>
  <c r="M62" i="9" s="1"/>
  <c r="N64" i="9"/>
  <c r="N62" i="9" s="1"/>
  <c r="O66" i="9"/>
  <c r="P66" i="9"/>
  <c r="L67" i="9"/>
  <c r="O67" i="9" s="1"/>
  <c r="M67" i="9"/>
  <c r="M65" i="9" s="1"/>
  <c r="P65" i="9" s="1"/>
  <c r="N67" i="9"/>
  <c r="N65" i="9" s="1"/>
  <c r="L73" i="9"/>
  <c r="O73" i="9" s="1"/>
  <c r="M73" i="9"/>
  <c r="N73" i="9"/>
  <c r="O76" i="9"/>
  <c r="P76" i="9"/>
  <c r="L77" i="9"/>
  <c r="M77" i="9"/>
  <c r="M75" i="9" s="1"/>
  <c r="P75" i="9" s="1"/>
  <c r="N77" i="9"/>
  <c r="N75" i="9" s="1"/>
  <c r="O79" i="9"/>
  <c r="P79" i="9"/>
  <c r="L80" i="9"/>
  <c r="L78" i="9" s="1"/>
  <c r="O78" i="9" s="1"/>
  <c r="M80" i="9"/>
  <c r="M78" i="9" s="1"/>
  <c r="P78" i="9" s="1"/>
  <c r="N80" i="9"/>
  <c r="N78" i="9" s="1"/>
  <c r="J82" i="9"/>
  <c r="J70" i="9" s="1"/>
  <c r="J83" i="9"/>
  <c r="J71" i="9" s="1"/>
  <c r="I84" i="9"/>
  <c r="I85" i="9"/>
  <c r="K85" i="9" s="1"/>
  <c r="I86" i="9"/>
  <c r="K86" i="9" s="1"/>
  <c r="I87" i="9"/>
  <c r="K87" i="9" s="1"/>
  <c r="I88" i="9"/>
  <c r="K88" i="9" s="1"/>
  <c r="I89" i="9"/>
  <c r="K89" i="9" s="1"/>
  <c r="I90" i="9"/>
  <c r="K90" i="9" s="1"/>
  <c r="J92" i="9"/>
  <c r="J93" i="9"/>
  <c r="L95" i="9"/>
  <c r="M95" i="9"/>
  <c r="P95" i="9" s="1"/>
  <c r="N95" i="9"/>
  <c r="O98" i="9"/>
  <c r="P98" i="9"/>
  <c r="L99" i="9"/>
  <c r="M99" i="9"/>
  <c r="N99" i="9"/>
  <c r="N97" i="9" s="1"/>
  <c r="O101" i="9"/>
  <c r="P101" i="9"/>
  <c r="L102" i="9"/>
  <c r="L100" i="9" s="1"/>
  <c r="O100" i="9" s="1"/>
  <c r="M102" i="9"/>
  <c r="M100" i="9" s="1"/>
  <c r="P100" i="9" s="1"/>
  <c r="N102" i="9"/>
  <c r="N100" i="9" s="1"/>
  <c r="I108" i="9"/>
  <c r="K108" i="9" s="1"/>
  <c r="I109" i="9"/>
  <c r="I93" i="9" s="1"/>
  <c r="K93" i="9" s="1"/>
  <c r="I117" i="9"/>
  <c r="K117" i="9" s="1"/>
  <c r="L126" i="9"/>
  <c r="O126" i="9" s="1"/>
  <c r="M126" i="9"/>
  <c r="N126" i="9"/>
  <c r="P126" i="9"/>
  <c r="O129" i="9"/>
  <c r="P129" i="9"/>
  <c r="L130" i="9"/>
  <c r="O130" i="9" s="1"/>
  <c r="M130" i="9"/>
  <c r="P130" i="9" s="1"/>
  <c r="N130" i="9"/>
  <c r="N128" i="9" s="1"/>
  <c r="O132" i="9"/>
  <c r="P132" i="9"/>
  <c r="L133" i="9"/>
  <c r="O133" i="9" s="1"/>
  <c r="M133" i="9"/>
  <c r="P133" i="9" s="1"/>
  <c r="N133" i="9"/>
  <c r="N131" i="9" s="1"/>
  <c r="J136" i="9"/>
  <c r="J137" i="9"/>
  <c r="J138" i="9"/>
  <c r="L140" i="9"/>
  <c r="O140" i="9" s="1"/>
  <c r="M140" i="9"/>
  <c r="N140" i="9"/>
  <c r="O143" i="9"/>
  <c r="P143" i="9"/>
  <c r="L144" i="9"/>
  <c r="M144" i="9"/>
  <c r="P144" i="9" s="1"/>
  <c r="N144" i="9"/>
  <c r="N142" i="9" s="1"/>
  <c r="O146" i="9"/>
  <c r="P146" i="9"/>
  <c r="L147" i="9"/>
  <c r="L145" i="9" s="1"/>
  <c r="O145" i="9" s="1"/>
  <c r="M147" i="9"/>
  <c r="P147" i="9" s="1"/>
  <c r="N147" i="9"/>
  <c r="N145" i="9" s="1"/>
  <c r="I150" i="9"/>
  <c r="K150" i="9" s="1"/>
  <c r="I151" i="9"/>
  <c r="K151" i="9" s="1"/>
  <c r="I152" i="9"/>
  <c r="K152" i="9" s="1"/>
  <c r="I153" i="9"/>
  <c r="K153" i="9" s="1"/>
  <c r="I154" i="9"/>
  <c r="I136" i="9" s="1"/>
  <c r="K136" i="9" s="1"/>
  <c r="J156" i="9"/>
  <c r="L158" i="9"/>
  <c r="M158" i="9"/>
  <c r="N158" i="9"/>
  <c r="O161" i="9"/>
  <c r="P161" i="9"/>
  <c r="L162" i="9"/>
  <c r="L160" i="9" s="1"/>
  <c r="O160" i="9" s="1"/>
  <c r="M162" i="9"/>
  <c r="M160" i="9" s="1"/>
  <c r="P160" i="9" s="1"/>
  <c r="N162" i="9"/>
  <c r="N160" i="9" s="1"/>
  <c r="O164" i="9"/>
  <c r="P164" i="9"/>
  <c r="L165" i="9"/>
  <c r="L163" i="9" s="1"/>
  <c r="O163" i="9" s="1"/>
  <c r="M165" i="9"/>
  <c r="M163" i="9" s="1"/>
  <c r="P163" i="9" s="1"/>
  <c r="N165" i="9"/>
  <c r="N163" i="9" s="1"/>
  <c r="I167" i="9"/>
  <c r="K167" i="9" s="1"/>
  <c r="I168" i="9"/>
  <c r="K168" i="9" s="1"/>
  <c r="I169" i="9"/>
  <c r="K169" i="9" s="1"/>
  <c r="J172" i="9"/>
  <c r="L174" i="9"/>
  <c r="M174" i="9"/>
  <c r="N174" i="9"/>
  <c r="O174" i="9"/>
  <c r="P174" i="9"/>
  <c r="O177" i="9"/>
  <c r="P177" i="9"/>
  <c r="L178" i="9"/>
  <c r="L176" i="9" s="1"/>
  <c r="M178" i="9"/>
  <c r="M176" i="9" s="1"/>
  <c r="N178" i="9"/>
  <c r="O180" i="9"/>
  <c r="P180" i="9"/>
  <c r="L181" i="9"/>
  <c r="L179" i="9" s="1"/>
  <c r="O179" i="9" s="1"/>
  <c r="M181" i="9"/>
  <c r="M179" i="9" s="1"/>
  <c r="P179" i="9" s="1"/>
  <c r="N181" i="9"/>
  <c r="N179" i="9" s="1"/>
  <c r="I183" i="9"/>
  <c r="K183" i="9" s="1"/>
  <c r="K184" i="9"/>
  <c r="L187" i="9"/>
  <c r="M187" i="9"/>
  <c r="P187" i="9" s="1"/>
  <c r="N187" i="9"/>
  <c r="O190" i="9"/>
  <c r="P190" i="9"/>
  <c r="L191" i="9"/>
  <c r="M191" i="9"/>
  <c r="M189" i="9" s="1"/>
  <c r="N191" i="9"/>
  <c r="N189" i="9" s="1"/>
  <c r="O193" i="9"/>
  <c r="P193" i="9"/>
  <c r="L194" i="9"/>
  <c r="O194" i="9" s="1"/>
  <c r="M194" i="9"/>
  <c r="M192" i="9" s="1"/>
  <c r="P192" i="9" s="1"/>
  <c r="N194" i="9"/>
  <c r="N192" i="9" s="1"/>
  <c r="J195" i="9"/>
  <c r="L196" i="9"/>
  <c r="O196" i="9" s="1"/>
  <c r="P196" i="9"/>
  <c r="I198" i="9"/>
  <c r="K198" i="9" s="1"/>
  <c r="J199" i="9"/>
  <c r="J202" i="9"/>
  <c r="N203" i="9"/>
  <c r="P203" i="9"/>
  <c r="L204" i="9"/>
  <c r="L205" i="9"/>
  <c r="L206" i="9"/>
  <c r="L207" i="9"/>
  <c r="I209" i="9"/>
  <c r="I202" i="9" s="1"/>
  <c r="K202" i="9" s="1"/>
  <c r="I211" i="9"/>
  <c r="K211" i="9" s="1"/>
  <c r="I212" i="9"/>
  <c r="K212" i="9" s="1"/>
  <c r="J213" i="9"/>
  <c r="N214" i="9"/>
  <c r="P214" i="9"/>
  <c r="L215" i="9"/>
  <c r="L216" i="9"/>
  <c r="L217" i="9"/>
  <c r="I219" i="9"/>
  <c r="K219" i="9" s="1"/>
  <c r="I220" i="9"/>
  <c r="I213" i="9" s="1"/>
  <c r="K213" i="9" s="1"/>
  <c r="J221" i="9"/>
  <c r="N222" i="9"/>
  <c r="P222" i="9"/>
  <c r="L223" i="9"/>
  <c r="L224" i="9"/>
  <c r="L225" i="9"/>
  <c r="I228" i="9"/>
  <c r="K228" i="9" s="1"/>
  <c r="I229" i="9"/>
  <c r="I221" i="9" s="1"/>
  <c r="I230" i="9"/>
  <c r="K230" i="9" s="1"/>
  <c r="N233" i="9"/>
  <c r="N234" i="9"/>
  <c r="N235" i="9"/>
  <c r="N236" i="9"/>
  <c r="J238" i="9"/>
  <c r="I240" i="9"/>
  <c r="K240" i="9" s="1"/>
  <c r="J240" i="9"/>
  <c r="I241" i="9"/>
  <c r="K241" i="9" s="1"/>
  <c r="J241" i="9"/>
  <c r="J242" i="9"/>
  <c r="N243" i="9"/>
  <c r="N232" i="9" s="1"/>
  <c r="P243" i="9"/>
  <c r="L244" i="9"/>
  <c r="L245" i="9"/>
  <c r="L246" i="9"/>
  <c r="L247" i="9"/>
  <c r="I249" i="9"/>
  <c r="I242" i="9" s="1"/>
  <c r="K251" i="9"/>
  <c r="K252" i="9"/>
  <c r="J253" i="9"/>
  <c r="J231" i="9" s="1"/>
  <c r="J185" i="9" s="1"/>
  <c r="N254" i="9"/>
  <c r="P254" i="9"/>
  <c r="L255" i="9"/>
  <c r="L256" i="9"/>
  <c r="L257" i="9"/>
  <c r="L258" i="9"/>
  <c r="I260" i="9"/>
  <c r="I253" i="9" s="1"/>
  <c r="K253" i="9" s="1"/>
  <c r="K262" i="9"/>
  <c r="K263" i="9"/>
  <c r="I265" i="9"/>
  <c r="K265" i="9" s="1"/>
  <c r="J265" i="9"/>
  <c r="L267" i="9"/>
  <c r="M267" i="9"/>
  <c r="P267" i="9" s="1"/>
  <c r="N267" i="9"/>
  <c r="O267" i="9"/>
  <c r="O270" i="9"/>
  <c r="P270" i="9"/>
  <c r="L271" i="9"/>
  <c r="O271" i="9" s="1"/>
  <c r="M271" i="9"/>
  <c r="M269" i="9" s="1"/>
  <c r="P269" i="9" s="1"/>
  <c r="N271" i="9"/>
  <c r="O273" i="9"/>
  <c r="P273" i="9"/>
  <c r="L274" i="9"/>
  <c r="O274" i="9" s="1"/>
  <c r="M274" i="9"/>
  <c r="M272" i="9" s="1"/>
  <c r="P272" i="9" s="1"/>
  <c r="N274" i="9"/>
  <c r="N272" i="9" s="1"/>
  <c r="J281" i="9"/>
  <c r="L283" i="9"/>
  <c r="M283" i="9"/>
  <c r="P283" i="9" s="1"/>
  <c r="N283" i="9"/>
  <c r="O286" i="9"/>
  <c r="P286" i="9"/>
  <c r="L287" i="9"/>
  <c r="L285" i="9" s="1"/>
  <c r="M287" i="9"/>
  <c r="M285" i="9" s="1"/>
  <c r="N287" i="9"/>
  <c r="O289" i="9"/>
  <c r="P289" i="9"/>
  <c r="L290" i="9"/>
  <c r="L288" i="9" s="1"/>
  <c r="O288" i="9" s="1"/>
  <c r="M290" i="9"/>
  <c r="M288" i="9" s="1"/>
  <c r="P288" i="9" s="1"/>
  <c r="N290" i="9"/>
  <c r="N288" i="9" s="1"/>
  <c r="I292" i="9"/>
  <c r="K292" i="9" s="1"/>
  <c r="I293" i="9"/>
  <c r="J293" i="9"/>
  <c r="J280" i="9" s="1"/>
  <c r="I295" i="9"/>
  <c r="K295" i="9" s="1"/>
  <c r="I296" i="9"/>
  <c r="K296" i="9" s="1"/>
  <c r="J302" i="9"/>
  <c r="L304" i="9"/>
  <c r="O304" i="9" s="1"/>
  <c r="M304" i="9"/>
  <c r="N304" i="9"/>
  <c r="O307" i="9"/>
  <c r="P307" i="9"/>
  <c r="L308" i="9"/>
  <c r="O308" i="9" s="1"/>
  <c r="M308" i="9"/>
  <c r="M306" i="9" s="1"/>
  <c r="P306" i="9" s="1"/>
  <c r="N308" i="9"/>
  <c r="N306" i="9" s="1"/>
  <c r="O310" i="9"/>
  <c r="P310" i="9"/>
  <c r="L311" i="9"/>
  <c r="O311" i="9" s="1"/>
  <c r="M311" i="9"/>
  <c r="M309" i="9" s="1"/>
  <c r="P309" i="9" s="1"/>
  <c r="N311" i="9"/>
  <c r="N309" i="9" s="1"/>
  <c r="I314" i="9"/>
  <c r="K314" i="9" s="1"/>
  <c r="I315" i="9"/>
  <c r="K315" i="9" s="1"/>
  <c r="I316" i="9"/>
  <c r="K316" i="9" s="1"/>
  <c r="I317" i="9"/>
  <c r="K317" i="9" s="1"/>
  <c r="J319" i="9"/>
  <c r="L321" i="9"/>
  <c r="O321" i="9" s="1"/>
  <c r="M321" i="9"/>
  <c r="N321" i="9"/>
  <c r="O324" i="9"/>
  <c r="P324" i="9"/>
  <c r="L325" i="9"/>
  <c r="L323" i="9" s="1"/>
  <c r="O323" i="9" s="1"/>
  <c r="M325" i="9"/>
  <c r="N325" i="9"/>
  <c r="N323" i="9" s="1"/>
  <c r="O327" i="9"/>
  <c r="P327" i="9"/>
  <c r="L328" i="9"/>
  <c r="L326" i="9" s="1"/>
  <c r="O326" i="9" s="1"/>
  <c r="M328" i="9"/>
  <c r="M326" i="9" s="1"/>
  <c r="P326" i="9" s="1"/>
  <c r="N328" i="9"/>
  <c r="N326" i="9" s="1"/>
  <c r="I330" i="9"/>
  <c r="K330" i="9" s="1"/>
  <c r="L334" i="9"/>
  <c r="O334" i="9" s="1"/>
  <c r="M334" i="9"/>
  <c r="N334" i="9"/>
  <c r="P334" i="9"/>
  <c r="O337" i="9"/>
  <c r="P337" i="9"/>
  <c r="L338" i="9"/>
  <c r="M338" i="9"/>
  <c r="N338" i="9"/>
  <c r="N336" i="9" s="1"/>
  <c r="O340" i="9"/>
  <c r="P340" i="9"/>
  <c r="L341" i="9"/>
  <c r="O341" i="9" s="1"/>
  <c r="M341" i="9"/>
  <c r="P341" i="9" s="1"/>
  <c r="N341" i="9"/>
  <c r="N339" i="9" s="1"/>
  <c r="I344" i="9"/>
  <c r="I332" i="9" s="1"/>
  <c r="J344" i="9"/>
  <c r="I346" i="9"/>
  <c r="J346" i="9"/>
  <c r="J347" i="9"/>
  <c r="J348" i="9"/>
  <c r="J349" i="9"/>
  <c r="D350" i="9"/>
  <c r="J352" i="9"/>
  <c r="J353" i="9"/>
  <c r="D354" i="9"/>
  <c r="L357" i="9"/>
  <c r="M357" i="9"/>
  <c r="N357" i="9"/>
  <c r="P357" i="9"/>
  <c r="O360" i="9"/>
  <c r="P360" i="9"/>
  <c r="L361" i="9"/>
  <c r="M361" i="9"/>
  <c r="N361" i="9"/>
  <c r="N359" i="9" s="1"/>
  <c r="O363" i="9"/>
  <c r="P363" i="9"/>
  <c r="L364" i="9"/>
  <c r="O364" i="9" s="1"/>
  <c r="M364" i="9"/>
  <c r="P364" i="9" s="1"/>
  <c r="N364" i="9"/>
  <c r="N362" i="9" s="1"/>
  <c r="J367" i="9"/>
  <c r="K367" i="9"/>
  <c r="I368" i="9"/>
  <c r="J368" i="9"/>
  <c r="I369" i="9"/>
  <c r="J369" i="9"/>
  <c r="J370" i="9"/>
  <c r="K370" i="9"/>
  <c r="I371" i="9"/>
  <c r="J371" i="9"/>
  <c r="J365" i="9" s="1"/>
  <c r="J372" i="9"/>
  <c r="K372" i="9"/>
  <c r="D373" i="9"/>
  <c r="I376" i="9"/>
  <c r="K376" i="9" s="1"/>
  <c r="J376" i="9"/>
  <c r="L378" i="9"/>
  <c r="M378" i="9"/>
  <c r="P378" i="9" s="1"/>
  <c r="N378" i="9"/>
  <c r="O381" i="9"/>
  <c r="P381" i="9"/>
  <c r="L382" i="9"/>
  <c r="L380" i="9" s="1"/>
  <c r="O380" i="9" s="1"/>
  <c r="M382" i="9"/>
  <c r="M380" i="9" s="1"/>
  <c r="P380" i="9" s="1"/>
  <c r="N382" i="9"/>
  <c r="O384" i="9"/>
  <c r="P384" i="9"/>
  <c r="L385" i="9"/>
  <c r="O385" i="9" s="1"/>
  <c r="M385" i="9"/>
  <c r="M383" i="9" s="1"/>
  <c r="P383" i="9" s="1"/>
  <c r="N385" i="9"/>
  <c r="N383" i="9" s="1"/>
  <c r="K387" i="9"/>
  <c r="K388" i="9"/>
  <c r="A391" i="9"/>
  <c r="L22" i="8"/>
  <c r="M22" i="8"/>
  <c r="N22" i="8"/>
  <c r="L25" i="8"/>
  <c r="O25" i="8" s="1"/>
  <c r="M25" i="8"/>
  <c r="P25" i="8" s="1"/>
  <c r="N25" i="8"/>
  <c r="L45" i="8"/>
  <c r="M45" i="8"/>
  <c r="P45" i="8" s="1"/>
  <c r="N45" i="8"/>
  <c r="O45" i="8"/>
  <c r="O48" i="8"/>
  <c r="P48" i="8"/>
  <c r="L49" i="8"/>
  <c r="M49" i="8"/>
  <c r="M47" i="8" s="1"/>
  <c r="N49" i="8"/>
  <c r="N47" i="8" s="1"/>
  <c r="O51" i="8"/>
  <c r="P51" i="8"/>
  <c r="L52" i="8"/>
  <c r="L50" i="8" s="1"/>
  <c r="O50" i="8" s="1"/>
  <c r="M52" i="8"/>
  <c r="P52" i="8" s="1"/>
  <c r="N52" i="8"/>
  <c r="L60" i="8"/>
  <c r="M60" i="8"/>
  <c r="P60" i="8" s="1"/>
  <c r="N60" i="8"/>
  <c r="O63" i="8"/>
  <c r="P63" i="8"/>
  <c r="L64" i="8"/>
  <c r="M64" i="8"/>
  <c r="N64" i="8"/>
  <c r="N62" i="8" s="1"/>
  <c r="O66" i="8"/>
  <c r="P66" i="8"/>
  <c r="L67" i="8"/>
  <c r="O67" i="8" s="1"/>
  <c r="M67" i="8"/>
  <c r="N67" i="8"/>
  <c r="N65" i="8" s="1"/>
  <c r="L73" i="8"/>
  <c r="O73" i="8" s="1"/>
  <c r="M73" i="8"/>
  <c r="P73" i="8" s="1"/>
  <c r="N73" i="8"/>
  <c r="O76" i="8"/>
  <c r="P76" i="8"/>
  <c r="L77" i="8"/>
  <c r="L75" i="8" s="1"/>
  <c r="O75" i="8" s="1"/>
  <c r="M77" i="8"/>
  <c r="M75" i="8" s="1"/>
  <c r="P75" i="8" s="1"/>
  <c r="N77" i="8"/>
  <c r="N75" i="8" s="1"/>
  <c r="O79" i="8"/>
  <c r="P79" i="8"/>
  <c r="L80" i="8"/>
  <c r="L78" i="8" s="1"/>
  <c r="O78" i="8" s="1"/>
  <c r="M80" i="8"/>
  <c r="M78" i="8" s="1"/>
  <c r="P78" i="8" s="1"/>
  <c r="N80" i="8"/>
  <c r="N78" i="8" s="1"/>
  <c r="J82" i="8"/>
  <c r="J70" i="8" s="1"/>
  <c r="J83" i="8"/>
  <c r="J71" i="8" s="1"/>
  <c r="I84" i="8"/>
  <c r="I85" i="8"/>
  <c r="K85" i="8" s="1"/>
  <c r="I86" i="8"/>
  <c r="K86" i="8" s="1"/>
  <c r="I87" i="8"/>
  <c r="K87" i="8" s="1"/>
  <c r="I88" i="8"/>
  <c r="K88" i="8" s="1"/>
  <c r="I89" i="8"/>
  <c r="K89" i="8" s="1"/>
  <c r="I90" i="8"/>
  <c r="K90" i="8" s="1"/>
  <c r="J92" i="8"/>
  <c r="J93" i="8"/>
  <c r="L95" i="8"/>
  <c r="O95" i="8" s="1"/>
  <c r="M95" i="8"/>
  <c r="P95" i="8" s="1"/>
  <c r="N95" i="8"/>
  <c r="O98" i="8"/>
  <c r="P98" i="8"/>
  <c r="L99" i="8"/>
  <c r="L97" i="8" s="1"/>
  <c r="O97" i="8" s="1"/>
  <c r="M99" i="8"/>
  <c r="M97" i="8" s="1"/>
  <c r="P97" i="8" s="1"/>
  <c r="N99" i="8"/>
  <c r="N97" i="8" s="1"/>
  <c r="O101" i="8"/>
  <c r="P101" i="8"/>
  <c r="L102" i="8"/>
  <c r="L100" i="8" s="1"/>
  <c r="O100" i="8" s="1"/>
  <c r="M102" i="8"/>
  <c r="M100" i="8" s="1"/>
  <c r="P100" i="8" s="1"/>
  <c r="N102" i="8"/>
  <c r="N100" i="8" s="1"/>
  <c r="I108" i="8"/>
  <c r="I109" i="8"/>
  <c r="I93" i="8" s="1"/>
  <c r="K93" i="8" s="1"/>
  <c r="I117" i="8"/>
  <c r="K117" i="8" s="1"/>
  <c r="L126" i="8"/>
  <c r="O126" i="8" s="1"/>
  <c r="M126" i="8"/>
  <c r="N126" i="8"/>
  <c r="O129" i="8"/>
  <c r="P129" i="8"/>
  <c r="L130" i="8"/>
  <c r="M130" i="8"/>
  <c r="P130" i="8" s="1"/>
  <c r="N130" i="8"/>
  <c r="N128" i="8" s="1"/>
  <c r="O132" i="8"/>
  <c r="P132" i="8"/>
  <c r="L133" i="8"/>
  <c r="M133" i="8"/>
  <c r="P133" i="8" s="1"/>
  <c r="N133" i="8"/>
  <c r="N131" i="8" s="1"/>
  <c r="J136" i="8"/>
  <c r="J137" i="8"/>
  <c r="J138" i="8"/>
  <c r="L140" i="8"/>
  <c r="O140" i="8" s="1"/>
  <c r="M140" i="8"/>
  <c r="N140" i="8"/>
  <c r="O143" i="8"/>
  <c r="P143" i="8"/>
  <c r="L144" i="8"/>
  <c r="M144" i="8"/>
  <c r="P144" i="8" s="1"/>
  <c r="N144" i="8"/>
  <c r="N142" i="8" s="1"/>
  <c r="O146" i="8"/>
  <c r="P146" i="8"/>
  <c r="L147" i="8"/>
  <c r="M147" i="8"/>
  <c r="P147" i="8" s="1"/>
  <c r="N147" i="8"/>
  <c r="N145" i="8" s="1"/>
  <c r="I150" i="8"/>
  <c r="K150" i="8" s="1"/>
  <c r="I151" i="8"/>
  <c r="K151" i="8" s="1"/>
  <c r="I152" i="8"/>
  <c r="K152" i="8" s="1"/>
  <c r="I153" i="8"/>
  <c r="I138" i="8" s="1"/>
  <c r="K138" i="8" s="1"/>
  <c r="I154" i="8"/>
  <c r="I136" i="8" s="1"/>
  <c r="K136" i="8" s="1"/>
  <c r="J156" i="8"/>
  <c r="L158" i="8"/>
  <c r="M158" i="8"/>
  <c r="N158" i="8"/>
  <c r="O158" i="8"/>
  <c r="O161" i="8"/>
  <c r="P161" i="8"/>
  <c r="L162" i="8"/>
  <c r="M162" i="8"/>
  <c r="M160" i="8" s="1"/>
  <c r="P160" i="8" s="1"/>
  <c r="N162" i="8"/>
  <c r="N160" i="8" s="1"/>
  <c r="O164" i="8"/>
  <c r="P164" i="8"/>
  <c r="L165" i="8"/>
  <c r="L163" i="8" s="1"/>
  <c r="O163" i="8" s="1"/>
  <c r="M165" i="8"/>
  <c r="M163" i="8" s="1"/>
  <c r="P163" i="8" s="1"/>
  <c r="N165" i="8"/>
  <c r="N163" i="8" s="1"/>
  <c r="I167" i="8"/>
  <c r="K167" i="8" s="1"/>
  <c r="I168" i="8"/>
  <c r="K168" i="8" s="1"/>
  <c r="I169" i="8"/>
  <c r="K169" i="8" s="1"/>
  <c r="J172" i="8"/>
  <c r="L174" i="8"/>
  <c r="M174" i="8"/>
  <c r="N174" i="8"/>
  <c r="O174" i="8"/>
  <c r="P174" i="8"/>
  <c r="O177" i="8"/>
  <c r="P177" i="8"/>
  <c r="L178" i="8"/>
  <c r="L176" i="8" s="1"/>
  <c r="M178" i="8"/>
  <c r="M176" i="8" s="1"/>
  <c r="N178" i="8"/>
  <c r="O180" i="8"/>
  <c r="P180" i="8"/>
  <c r="L181" i="8"/>
  <c r="L179" i="8" s="1"/>
  <c r="O179" i="8" s="1"/>
  <c r="M181" i="8"/>
  <c r="M179" i="8" s="1"/>
  <c r="P179" i="8" s="1"/>
  <c r="N181" i="8"/>
  <c r="N179" i="8" s="1"/>
  <c r="I183" i="8"/>
  <c r="K183" i="8" s="1"/>
  <c r="K184" i="8"/>
  <c r="L187" i="8"/>
  <c r="O187" i="8" s="1"/>
  <c r="M187" i="8"/>
  <c r="P187" i="8" s="1"/>
  <c r="N187" i="8"/>
  <c r="O190" i="8"/>
  <c r="P190" i="8"/>
  <c r="L191" i="8"/>
  <c r="L189" i="8" s="1"/>
  <c r="M191" i="8"/>
  <c r="N191" i="8"/>
  <c r="O193" i="8"/>
  <c r="P193" i="8"/>
  <c r="L194" i="8"/>
  <c r="O194" i="8" s="1"/>
  <c r="M194" i="8"/>
  <c r="N194" i="8"/>
  <c r="N192" i="8" s="1"/>
  <c r="J195" i="8"/>
  <c r="L196" i="8"/>
  <c r="O196" i="8" s="1"/>
  <c r="P196" i="8"/>
  <c r="I198" i="8"/>
  <c r="K198" i="8" s="1"/>
  <c r="J199" i="8"/>
  <c r="J202" i="8"/>
  <c r="N203" i="8"/>
  <c r="P203" i="8"/>
  <c r="L204" i="8"/>
  <c r="L205" i="8"/>
  <c r="L206" i="8"/>
  <c r="L207" i="8"/>
  <c r="I209" i="8"/>
  <c r="I202" i="8" s="1"/>
  <c r="K202" i="8" s="1"/>
  <c r="I211" i="8"/>
  <c r="K211" i="8" s="1"/>
  <c r="I212" i="8"/>
  <c r="K212" i="8" s="1"/>
  <c r="J213" i="8"/>
  <c r="N214" i="8"/>
  <c r="P214" i="8"/>
  <c r="L215" i="8"/>
  <c r="L216" i="8"/>
  <c r="L217" i="8"/>
  <c r="I219" i="8"/>
  <c r="K219" i="8" s="1"/>
  <c r="I220" i="8"/>
  <c r="K220" i="8" s="1"/>
  <c r="J221" i="8"/>
  <c r="N222" i="8"/>
  <c r="P222" i="8"/>
  <c r="L223" i="8"/>
  <c r="L224" i="8"/>
  <c r="L225" i="8"/>
  <c r="I228" i="8"/>
  <c r="K228" i="8" s="1"/>
  <c r="I229" i="8"/>
  <c r="I221" i="8" s="1"/>
  <c r="K221" i="8" s="1"/>
  <c r="I230" i="8"/>
  <c r="K230" i="8" s="1"/>
  <c r="N233" i="8"/>
  <c r="N234" i="8"/>
  <c r="N235" i="8"/>
  <c r="N236" i="8"/>
  <c r="J238" i="8"/>
  <c r="I240" i="8"/>
  <c r="K240" i="8" s="1"/>
  <c r="J240" i="8"/>
  <c r="I241" i="8"/>
  <c r="K241" i="8" s="1"/>
  <c r="J241" i="8"/>
  <c r="J242" i="8"/>
  <c r="J231" i="8" s="1"/>
  <c r="J185" i="8" s="1"/>
  <c r="N243" i="8"/>
  <c r="N232" i="8" s="1"/>
  <c r="P243" i="8"/>
  <c r="L244" i="8"/>
  <c r="L245" i="8"/>
  <c r="L246" i="8"/>
  <c r="L247" i="8"/>
  <c r="I249" i="8"/>
  <c r="K249" i="8" s="1"/>
  <c r="K251" i="8"/>
  <c r="K252" i="8"/>
  <c r="J253" i="8"/>
  <c r="N254" i="8"/>
  <c r="P254" i="8"/>
  <c r="L255" i="8"/>
  <c r="L256" i="8"/>
  <c r="L257" i="8"/>
  <c r="L258" i="8"/>
  <c r="I260" i="8"/>
  <c r="K260" i="8" s="1"/>
  <c r="K262" i="8"/>
  <c r="K263" i="8"/>
  <c r="I265" i="8"/>
  <c r="K265" i="8" s="1"/>
  <c r="J265" i="8"/>
  <c r="L267" i="8"/>
  <c r="M267" i="8"/>
  <c r="N267" i="8"/>
  <c r="P267" i="8"/>
  <c r="O270" i="8"/>
  <c r="P270" i="8"/>
  <c r="L271" i="8"/>
  <c r="O271" i="8" s="1"/>
  <c r="M271" i="8"/>
  <c r="M269" i="8" s="1"/>
  <c r="P269" i="8" s="1"/>
  <c r="N271" i="8"/>
  <c r="N269" i="8" s="1"/>
  <c r="O273" i="8"/>
  <c r="P273" i="8"/>
  <c r="L274" i="8"/>
  <c r="O274" i="8" s="1"/>
  <c r="M274" i="8"/>
  <c r="M272" i="8" s="1"/>
  <c r="P272" i="8" s="1"/>
  <c r="N274" i="8"/>
  <c r="J281" i="8"/>
  <c r="L283" i="8"/>
  <c r="M283" i="8"/>
  <c r="N283" i="8"/>
  <c r="O286" i="8"/>
  <c r="P286" i="8"/>
  <c r="L287" i="8"/>
  <c r="L285" i="8" s="1"/>
  <c r="M287" i="8"/>
  <c r="M285" i="8" s="1"/>
  <c r="N287" i="8"/>
  <c r="O289" i="8"/>
  <c r="P289" i="8"/>
  <c r="L290" i="8"/>
  <c r="O290" i="8" s="1"/>
  <c r="M290" i="8"/>
  <c r="M288" i="8" s="1"/>
  <c r="P288" i="8" s="1"/>
  <c r="N290" i="8"/>
  <c r="I292" i="8"/>
  <c r="K292" i="8" s="1"/>
  <c r="I293" i="8"/>
  <c r="J293" i="8"/>
  <c r="J280" i="8" s="1"/>
  <c r="I295" i="8"/>
  <c r="K295" i="8" s="1"/>
  <c r="I296" i="8"/>
  <c r="K296" i="8" s="1"/>
  <c r="J302" i="8"/>
  <c r="L304" i="8"/>
  <c r="O304" i="8" s="1"/>
  <c r="M304" i="8"/>
  <c r="P304" i="8" s="1"/>
  <c r="N304" i="8"/>
  <c r="O307" i="8"/>
  <c r="P307" i="8"/>
  <c r="L308" i="8"/>
  <c r="O308" i="8" s="1"/>
  <c r="M308" i="8"/>
  <c r="M306" i="8" s="1"/>
  <c r="P306" i="8" s="1"/>
  <c r="N308" i="8"/>
  <c r="O310" i="8"/>
  <c r="P310" i="8"/>
  <c r="L311" i="8"/>
  <c r="O311" i="8" s="1"/>
  <c r="M311" i="8"/>
  <c r="M309" i="8" s="1"/>
  <c r="P309" i="8" s="1"/>
  <c r="N311" i="8"/>
  <c r="N309" i="8" s="1"/>
  <c r="I314" i="8"/>
  <c r="I302" i="8" s="1"/>
  <c r="K302" i="8" s="1"/>
  <c r="I315" i="8"/>
  <c r="K315" i="8" s="1"/>
  <c r="I316" i="8"/>
  <c r="K316" i="8" s="1"/>
  <c r="I317" i="8"/>
  <c r="K317" i="8" s="1"/>
  <c r="J319" i="8"/>
  <c r="L321" i="8"/>
  <c r="O321" i="8" s="1"/>
  <c r="M321" i="8"/>
  <c r="P321" i="8" s="1"/>
  <c r="N321" i="8"/>
  <c r="O324" i="8"/>
  <c r="P324" i="8"/>
  <c r="L325" i="8"/>
  <c r="O325" i="8" s="1"/>
  <c r="M325" i="8"/>
  <c r="M323" i="8" s="1"/>
  <c r="P323" i="8" s="1"/>
  <c r="N325" i="8"/>
  <c r="N323" i="8" s="1"/>
  <c r="O327" i="8"/>
  <c r="P327" i="8"/>
  <c r="L328" i="8"/>
  <c r="L326" i="8" s="1"/>
  <c r="O326" i="8" s="1"/>
  <c r="M328" i="8"/>
  <c r="P328" i="8" s="1"/>
  <c r="N328" i="8"/>
  <c r="N326" i="8" s="1"/>
  <c r="I330" i="8"/>
  <c r="I319" i="8" s="1"/>
  <c r="K319" i="8" s="1"/>
  <c r="L334" i="8"/>
  <c r="O334" i="8" s="1"/>
  <c r="M334" i="8"/>
  <c r="N334" i="8"/>
  <c r="O337" i="8"/>
  <c r="P337" i="8"/>
  <c r="L338" i="8"/>
  <c r="L336" i="8" s="1"/>
  <c r="M338" i="8"/>
  <c r="N338" i="8"/>
  <c r="N336" i="8" s="1"/>
  <c r="O340" i="8"/>
  <c r="P340" i="8"/>
  <c r="L341" i="8"/>
  <c r="L339" i="8" s="1"/>
  <c r="O339" i="8" s="1"/>
  <c r="M341" i="8"/>
  <c r="P341" i="8" s="1"/>
  <c r="N341" i="8"/>
  <c r="N339" i="8" s="1"/>
  <c r="I344" i="8"/>
  <c r="I332" i="8" s="1"/>
  <c r="J344" i="8"/>
  <c r="I346" i="8"/>
  <c r="J346" i="8"/>
  <c r="J347" i="8"/>
  <c r="J348" i="8"/>
  <c r="J349" i="8"/>
  <c r="D350" i="8"/>
  <c r="J352" i="8"/>
  <c r="J353" i="8"/>
  <c r="D354" i="8"/>
  <c r="L357" i="8"/>
  <c r="O357" i="8" s="1"/>
  <c r="M357" i="8"/>
  <c r="P357" i="8" s="1"/>
  <c r="N357" i="8"/>
  <c r="O360" i="8"/>
  <c r="P360" i="8"/>
  <c r="L361" i="8"/>
  <c r="L359" i="8" s="1"/>
  <c r="M361" i="8"/>
  <c r="N361" i="8"/>
  <c r="N359" i="8" s="1"/>
  <c r="O363" i="8"/>
  <c r="P363" i="8"/>
  <c r="L364" i="8"/>
  <c r="L362" i="8" s="1"/>
  <c r="O362" i="8" s="1"/>
  <c r="M364" i="8"/>
  <c r="P364" i="8" s="1"/>
  <c r="N364" i="8"/>
  <c r="N362" i="8" s="1"/>
  <c r="J367" i="8"/>
  <c r="K367" i="8"/>
  <c r="I368" i="8"/>
  <c r="J368" i="8"/>
  <c r="I369" i="8"/>
  <c r="J369" i="8"/>
  <c r="J370" i="8"/>
  <c r="K370" i="8"/>
  <c r="I371" i="8"/>
  <c r="I365" i="8" s="1"/>
  <c r="J371" i="8"/>
  <c r="J365" i="8" s="1"/>
  <c r="J372" i="8"/>
  <c r="K372" i="8"/>
  <c r="D373" i="8"/>
  <c r="I376" i="8"/>
  <c r="J376" i="8"/>
  <c r="K376" i="8"/>
  <c r="L378" i="8"/>
  <c r="O378" i="8" s="1"/>
  <c r="M378" i="8"/>
  <c r="N378" i="8"/>
  <c r="O381" i="8"/>
  <c r="P381" i="8"/>
  <c r="L382" i="8"/>
  <c r="O382" i="8" s="1"/>
  <c r="M382" i="8"/>
  <c r="P382" i="8" s="1"/>
  <c r="N382" i="8"/>
  <c r="O384" i="8"/>
  <c r="P384" i="8"/>
  <c r="L385" i="8"/>
  <c r="O385" i="8" s="1"/>
  <c r="M385" i="8"/>
  <c r="P385" i="8" s="1"/>
  <c r="N385" i="8"/>
  <c r="N383" i="8" s="1"/>
  <c r="K387" i="8"/>
  <c r="K388" i="8"/>
  <c r="A391" i="8"/>
  <c r="L22" i="7"/>
  <c r="M22" i="7"/>
  <c r="N22" i="7"/>
  <c r="L25" i="7"/>
  <c r="O25" i="7" s="1"/>
  <c r="M25" i="7"/>
  <c r="P25" i="7" s="1"/>
  <c r="N25" i="7"/>
  <c r="L45" i="7"/>
  <c r="M45" i="7"/>
  <c r="P45" i="7" s="1"/>
  <c r="N45" i="7"/>
  <c r="O45" i="7"/>
  <c r="O48" i="7"/>
  <c r="P48" i="7"/>
  <c r="L49" i="7"/>
  <c r="M49" i="7"/>
  <c r="M47" i="7" s="1"/>
  <c r="N49" i="7"/>
  <c r="N47" i="7" s="1"/>
  <c r="O51" i="7"/>
  <c r="P51" i="7"/>
  <c r="L52" i="7"/>
  <c r="O52" i="7" s="1"/>
  <c r="M52" i="7"/>
  <c r="P52" i="7" s="1"/>
  <c r="N52" i="7"/>
  <c r="N50" i="7" s="1"/>
  <c r="L60" i="7"/>
  <c r="M60" i="7"/>
  <c r="N60" i="7"/>
  <c r="P60" i="7"/>
  <c r="O63" i="7"/>
  <c r="P63" i="7"/>
  <c r="L64" i="7"/>
  <c r="L62" i="7" s="1"/>
  <c r="M64" i="7"/>
  <c r="N64" i="7"/>
  <c r="N62" i="7" s="1"/>
  <c r="O66" i="7"/>
  <c r="P66" i="7"/>
  <c r="L67" i="7"/>
  <c r="L65" i="7" s="1"/>
  <c r="O65" i="7" s="1"/>
  <c r="M67" i="7"/>
  <c r="N67" i="7"/>
  <c r="N65" i="7" s="1"/>
  <c r="L73" i="7"/>
  <c r="O73" i="7" s="1"/>
  <c r="M73" i="7"/>
  <c r="P73" i="7" s="1"/>
  <c r="N73" i="7"/>
  <c r="O76" i="7"/>
  <c r="P76" i="7"/>
  <c r="L77" i="7"/>
  <c r="L75" i="7" s="1"/>
  <c r="M77" i="7"/>
  <c r="M75" i="7" s="1"/>
  <c r="N77" i="7"/>
  <c r="N75" i="7" s="1"/>
  <c r="O79" i="7"/>
  <c r="P79" i="7"/>
  <c r="L80" i="7"/>
  <c r="O80" i="7" s="1"/>
  <c r="M80" i="7"/>
  <c r="M78" i="7" s="1"/>
  <c r="P78" i="7" s="1"/>
  <c r="N80" i="7"/>
  <c r="N78" i="7" s="1"/>
  <c r="J82" i="7"/>
  <c r="J70" i="7" s="1"/>
  <c r="J83" i="7"/>
  <c r="J71" i="7" s="1"/>
  <c r="I84" i="7"/>
  <c r="I85" i="7"/>
  <c r="I86" i="7"/>
  <c r="K86" i="7" s="1"/>
  <c r="I87" i="7"/>
  <c r="K87" i="7" s="1"/>
  <c r="I88" i="7"/>
  <c r="K88" i="7" s="1"/>
  <c r="I89" i="7"/>
  <c r="K89" i="7" s="1"/>
  <c r="I90" i="7"/>
  <c r="K90" i="7" s="1"/>
  <c r="J92" i="7"/>
  <c r="J93" i="7"/>
  <c r="L95" i="7"/>
  <c r="O95" i="7" s="1"/>
  <c r="M95" i="7"/>
  <c r="P95" i="7" s="1"/>
  <c r="N95" i="7"/>
  <c r="O98" i="7"/>
  <c r="P98" i="7"/>
  <c r="L99" i="7"/>
  <c r="L97" i="7" s="1"/>
  <c r="O97" i="7" s="1"/>
  <c r="M99" i="7"/>
  <c r="M97" i="7" s="1"/>
  <c r="P97" i="7" s="1"/>
  <c r="N99" i="7"/>
  <c r="N97" i="7" s="1"/>
  <c r="O101" i="7"/>
  <c r="P101" i="7"/>
  <c r="L102" i="7"/>
  <c r="O102" i="7" s="1"/>
  <c r="M102" i="7"/>
  <c r="P102" i="7" s="1"/>
  <c r="N102" i="7"/>
  <c r="N100" i="7" s="1"/>
  <c r="I108" i="7"/>
  <c r="I109" i="7"/>
  <c r="K109" i="7" s="1"/>
  <c r="I117" i="7"/>
  <c r="K117" i="7" s="1"/>
  <c r="L126" i="7"/>
  <c r="O126" i="7" s="1"/>
  <c r="M126" i="7"/>
  <c r="N126" i="7"/>
  <c r="O129" i="7"/>
  <c r="P129" i="7"/>
  <c r="L130" i="7"/>
  <c r="L128" i="7" s="1"/>
  <c r="O128" i="7" s="1"/>
  <c r="M130" i="7"/>
  <c r="M128" i="7" s="1"/>
  <c r="P128" i="7" s="1"/>
  <c r="N130" i="7"/>
  <c r="N128" i="7" s="1"/>
  <c r="O132" i="7"/>
  <c r="P132" i="7"/>
  <c r="L133" i="7"/>
  <c r="O133" i="7" s="1"/>
  <c r="M133" i="7"/>
  <c r="M131" i="7" s="1"/>
  <c r="P131" i="7" s="1"/>
  <c r="N133" i="7"/>
  <c r="N131" i="7" s="1"/>
  <c r="J136" i="7"/>
  <c r="J137" i="7"/>
  <c r="J138" i="7"/>
  <c r="L140" i="7"/>
  <c r="M140" i="7"/>
  <c r="N140" i="7"/>
  <c r="O140" i="7"/>
  <c r="P140" i="7"/>
  <c r="O143" i="7"/>
  <c r="P143" i="7"/>
  <c r="L144" i="7"/>
  <c r="L142" i="7" s="1"/>
  <c r="M144" i="7"/>
  <c r="N144" i="7"/>
  <c r="O146" i="7"/>
  <c r="P146" i="7"/>
  <c r="L147" i="7"/>
  <c r="O147" i="7" s="1"/>
  <c r="M147" i="7"/>
  <c r="P147" i="7" s="1"/>
  <c r="N147" i="7"/>
  <c r="N145" i="7" s="1"/>
  <c r="I150" i="7"/>
  <c r="K150" i="7" s="1"/>
  <c r="I151" i="7"/>
  <c r="K151" i="7" s="1"/>
  <c r="I152" i="7"/>
  <c r="K152" i="7" s="1"/>
  <c r="I153" i="7"/>
  <c r="I138" i="7" s="1"/>
  <c r="K138" i="7" s="1"/>
  <c r="I154" i="7"/>
  <c r="I136" i="7" s="1"/>
  <c r="J156" i="7"/>
  <c r="L158" i="7"/>
  <c r="M158" i="7"/>
  <c r="N158" i="7"/>
  <c r="O158" i="7"/>
  <c r="O161" i="7"/>
  <c r="P161" i="7"/>
  <c r="L162" i="7"/>
  <c r="L160" i="7" s="1"/>
  <c r="M162" i="7"/>
  <c r="M160" i="7" s="1"/>
  <c r="P160" i="7" s="1"/>
  <c r="N162" i="7"/>
  <c r="O164" i="7"/>
  <c r="P164" i="7"/>
  <c r="L165" i="7"/>
  <c r="L163" i="7" s="1"/>
  <c r="O163" i="7" s="1"/>
  <c r="M165" i="7"/>
  <c r="M163" i="7" s="1"/>
  <c r="P163" i="7" s="1"/>
  <c r="N165" i="7"/>
  <c r="N163" i="7" s="1"/>
  <c r="I167" i="7"/>
  <c r="I156" i="7" s="1"/>
  <c r="J172" i="7"/>
  <c r="L174" i="7"/>
  <c r="O174" i="7" s="1"/>
  <c r="M174" i="7"/>
  <c r="N174" i="7"/>
  <c r="O177" i="7"/>
  <c r="P177" i="7"/>
  <c r="L178" i="7"/>
  <c r="L176" i="7" s="1"/>
  <c r="M178" i="7"/>
  <c r="M176" i="7" s="1"/>
  <c r="N178" i="7"/>
  <c r="O180" i="7"/>
  <c r="P180" i="7"/>
  <c r="L181" i="7"/>
  <c r="O181" i="7" s="1"/>
  <c r="M181" i="7"/>
  <c r="M179" i="7" s="1"/>
  <c r="P179" i="7" s="1"/>
  <c r="N181" i="7"/>
  <c r="I183" i="7"/>
  <c r="I172" i="7" s="1"/>
  <c r="K172" i="7" s="1"/>
  <c r="K184" i="7"/>
  <c r="L187" i="7"/>
  <c r="O187" i="7" s="1"/>
  <c r="M187" i="7"/>
  <c r="P187" i="7" s="1"/>
  <c r="N187" i="7"/>
  <c r="O190" i="7"/>
  <c r="P190" i="7"/>
  <c r="L191" i="7"/>
  <c r="L189" i="7" s="1"/>
  <c r="M191" i="7"/>
  <c r="M189" i="7" s="1"/>
  <c r="N191" i="7"/>
  <c r="N189" i="7" s="1"/>
  <c r="O193" i="7"/>
  <c r="P193" i="7"/>
  <c r="L194" i="7"/>
  <c r="O194" i="7" s="1"/>
  <c r="M194" i="7"/>
  <c r="M192" i="7" s="1"/>
  <c r="P192" i="7" s="1"/>
  <c r="N194" i="7"/>
  <c r="N192" i="7" s="1"/>
  <c r="J195" i="7"/>
  <c r="L196" i="7"/>
  <c r="O196" i="7" s="1"/>
  <c r="P196" i="7"/>
  <c r="I198" i="7"/>
  <c r="K198" i="7" s="1"/>
  <c r="J199" i="7"/>
  <c r="J202" i="7"/>
  <c r="N203" i="7"/>
  <c r="P203" i="7"/>
  <c r="L204" i="7"/>
  <c r="L205" i="7"/>
  <c r="L206" i="7"/>
  <c r="L207" i="7"/>
  <c r="I209" i="7"/>
  <c r="I211" i="7"/>
  <c r="K211" i="7" s="1"/>
  <c r="I212" i="7"/>
  <c r="K212" i="7" s="1"/>
  <c r="J213" i="7"/>
  <c r="N214" i="7"/>
  <c r="P214" i="7"/>
  <c r="L215" i="7"/>
  <c r="L216" i="7"/>
  <c r="L217" i="7"/>
  <c r="I219" i="7"/>
  <c r="K219" i="7" s="1"/>
  <c r="I220" i="7"/>
  <c r="K220" i="7" s="1"/>
  <c r="J221" i="7"/>
  <c r="N222" i="7"/>
  <c r="P222" i="7"/>
  <c r="L223" i="7"/>
  <c r="L224" i="7"/>
  <c r="L225" i="7"/>
  <c r="I228" i="7"/>
  <c r="K228" i="7" s="1"/>
  <c r="I229" i="7"/>
  <c r="I221" i="7" s="1"/>
  <c r="K221" i="7" s="1"/>
  <c r="I230" i="7"/>
  <c r="K230" i="7" s="1"/>
  <c r="N233" i="7"/>
  <c r="N234" i="7"/>
  <c r="N235" i="7"/>
  <c r="N236" i="7"/>
  <c r="J238" i="7"/>
  <c r="I240" i="7"/>
  <c r="K240" i="7" s="1"/>
  <c r="J240" i="7"/>
  <c r="I241" i="7"/>
  <c r="J241" i="7"/>
  <c r="K241" i="7"/>
  <c r="J242" i="7"/>
  <c r="J231" i="7" s="1"/>
  <c r="J185" i="7" s="1"/>
  <c r="N243" i="7"/>
  <c r="N232" i="7" s="1"/>
  <c r="P243" i="7"/>
  <c r="L244" i="7"/>
  <c r="L245" i="7"/>
  <c r="L246" i="7"/>
  <c r="L247" i="7"/>
  <c r="I249" i="7"/>
  <c r="K249" i="7" s="1"/>
  <c r="K251" i="7"/>
  <c r="K252" i="7"/>
  <c r="J253" i="7"/>
  <c r="N254" i="7"/>
  <c r="P254" i="7"/>
  <c r="L255" i="7"/>
  <c r="L256" i="7"/>
  <c r="L257" i="7"/>
  <c r="L258" i="7"/>
  <c r="I260" i="7"/>
  <c r="I253" i="7" s="1"/>
  <c r="K262" i="7"/>
  <c r="K263" i="7"/>
  <c r="I265" i="7"/>
  <c r="K265" i="7" s="1"/>
  <c r="J265" i="7"/>
  <c r="L267" i="7"/>
  <c r="M267" i="7"/>
  <c r="N267" i="7"/>
  <c r="O270" i="7"/>
  <c r="P270" i="7"/>
  <c r="L271" i="7"/>
  <c r="O271" i="7" s="1"/>
  <c r="M271" i="7"/>
  <c r="M269" i="7" s="1"/>
  <c r="P269" i="7" s="1"/>
  <c r="N271" i="7"/>
  <c r="N269" i="7" s="1"/>
  <c r="O273" i="7"/>
  <c r="P273" i="7"/>
  <c r="L274" i="7"/>
  <c r="O274" i="7" s="1"/>
  <c r="M274" i="7"/>
  <c r="M272" i="7" s="1"/>
  <c r="P272" i="7" s="1"/>
  <c r="N274" i="7"/>
  <c r="J281" i="7"/>
  <c r="L283" i="7"/>
  <c r="M283" i="7"/>
  <c r="P283" i="7" s="1"/>
  <c r="N283" i="7"/>
  <c r="O286" i="7"/>
  <c r="P286" i="7"/>
  <c r="L287" i="7"/>
  <c r="L285" i="7" s="1"/>
  <c r="M287" i="7"/>
  <c r="M285" i="7" s="1"/>
  <c r="N287" i="7"/>
  <c r="O289" i="7"/>
  <c r="P289" i="7"/>
  <c r="L290" i="7"/>
  <c r="L288" i="7" s="1"/>
  <c r="O288" i="7" s="1"/>
  <c r="M290" i="7"/>
  <c r="M288" i="7" s="1"/>
  <c r="P288" i="7" s="1"/>
  <c r="N290" i="7"/>
  <c r="N288" i="7" s="1"/>
  <c r="I292" i="7"/>
  <c r="K292" i="7" s="1"/>
  <c r="I293" i="7"/>
  <c r="J293" i="7"/>
  <c r="J280" i="7" s="1"/>
  <c r="I295" i="7"/>
  <c r="K295" i="7" s="1"/>
  <c r="I296" i="7"/>
  <c r="K296" i="7" s="1"/>
  <c r="J302" i="7"/>
  <c r="L304" i="7"/>
  <c r="M304" i="7"/>
  <c r="N304" i="7"/>
  <c r="P304" i="7"/>
  <c r="O307" i="7"/>
  <c r="P307" i="7"/>
  <c r="L308" i="7"/>
  <c r="L306" i="7" s="1"/>
  <c r="M308" i="7"/>
  <c r="M306" i="7" s="1"/>
  <c r="N308" i="7"/>
  <c r="N306" i="7" s="1"/>
  <c r="O310" i="7"/>
  <c r="P310" i="7"/>
  <c r="L311" i="7"/>
  <c r="O311" i="7" s="1"/>
  <c r="M311" i="7"/>
  <c r="M309" i="7" s="1"/>
  <c r="P309" i="7" s="1"/>
  <c r="N311" i="7"/>
  <c r="N309" i="7" s="1"/>
  <c r="I314" i="7"/>
  <c r="K314" i="7" s="1"/>
  <c r="I315" i="7"/>
  <c r="K315" i="7" s="1"/>
  <c r="I316" i="7"/>
  <c r="K316" i="7" s="1"/>
  <c r="I317" i="7"/>
  <c r="K317" i="7" s="1"/>
  <c r="J319" i="7"/>
  <c r="L321" i="7"/>
  <c r="O321" i="7" s="1"/>
  <c r="M321" i="7"/>
  <c r="P321" i="7" s="1"/>
  <c r="N321" i="7"/>
  <c r="O324" i="7"/>
  <c r="P324" i="7"/>
  <c r="L325" i="7"/>
  <c r="M325" i="7"/>
  <c r="M323" i="7" s="1"/>
  <c r="P323" i="7" s="1"/>
  <c r="N325" i="7"/>
  <c r="N323" i="7" s="1"/>
  <c r="O327" i="7"/>
  <c r="P327" i="7"/>
  <c r="L328" i="7"/>
  <c r="L326" i="7" s="1"/>
  <c r="O326" i="7" s="1"/>
  <c r="M328" i="7"/>
  <c r="P328" i="7" s="1"/>
  <c r="N328" i="7"/>
  <c r="N326" i="7" s="1"/>
  <c r="I330" i="7"/>
  <c r="I319" i="7" s="1"/>
  <c r="K319" i="7" s="1"/>
  <c r="L334" i="7"/>
  <c r="O334" i="7" s="1"/>
  <c r="M334" i="7"/>
  <c r="P334" i="7" s="1"/>
  <c r="N334" i="7"/>
  <c r="O337" i="7"/>
  <c r="P337" i="7"/>
  <c r="L338" i="7"/>
  <c r="L336" i="7" s="1"/>
  <c r="M338" i="7"/>
  <c r="N338" i="7"/>
  <c r="N336" i="7" s="1"/>
  <c r="O340" i="7"/>
  <c r="P340" i="7"/>
  <c r="L341" i="7"/>
  <c r="L339" i="7" s="1"/>
  <c r="O339" i="7" s="1"/>
  <c r="M341" i="7"/>
  <c r="P341" i="7" s="1"/>
  <c r="N341" i="7"/>
  <c r="N339" i="7" s="1"/>
  <c r="I344" i="7"/>
  <c r="I332" i="7" s="1"/>
  <c r="J344" i="7"/>
  <c r="I346" i="7"/>
  <c r="J346" i="7"/>
  <c r="J347" i="7"/>
  <c r="J348" i="7"/>
  <c r="J349" i="7"/>
  <c r="D350" i="7"/>
  <c r="J352" i="7"/>
  <c r="J353" i="7"/>
  <c r="D354" i="7"/>
  <c r="L357" i="7"/>
  <c r="O357" i="7" s="1"/>
  <c r="M357" i="7"/>
  <c r="P357" i="7" s="1"/>
  <c r="N357" i="7"/>
  <c r="O360" i="7"/>
  <c r="P360" i="7"/>
  <c r="L361" i="7"/>
  <c r="L359" i="7" s="1"/>
  <c r="M361" i="7"/>
  <c r="N361" i="7"/>
  <c r="N359" i="7" s="1"/>
  <c r="O363" i="7"/>
  <c r="P363" i="7"/>
  <c r="L364" i="7"/>
  <c r="L362" i="7" s="1"/>
  <c r="O362" i="7" s="1"/>
  <c r="M364" i="7"/>
  <c r="P364" i="7" s="1"/>
  <c r="N364" i="7"/>
  <c r="N362" i="7" s="1"/>
  <c r="J367" i="7"/>
  <c r="K367" i="7"/>
  <c r="I368" i="7"/>
  <c r="J368" i="7"/>
  <c r="I369" i="7"/>
  <c r="J369" i="7"/>
  <c r="J370" i="7"/>
  <c r="K370" i="7"/>
  <c r="I371" i="7"/>
  <c r="I365" i="7" s="1"/>
  <c r="J371" i="7"/>
  <c r="J365" i="7" s="1"/>
  <c r="J372" i="7"/>
  <c r="K372" i="7"/>
  <c r="D373" i="7"/>
  <c r="I376" i="7"/>
  <c r="J376" i="7"/>
  <c r="K376" i="7"/>
  <c r="L378" i="7"/>
  <c r="O378" i="7" s="1"/>
  <c r="M378" i="7"/>
  <c r="N378" i="7"/>
  <c r="O381" i="7"/>
  <c r="P381" i="7"/>
  <c r="L382" i="7"/>
  <c r="O382" i="7" s="1"/>
  <c r="M382" i="7"/>
  <c r="P382" i="7" s="1"/>
  <c r="N382" i="7"/>
  <c r="O384" i="7"/>
  <c r="P384" i="7"/>
  <c r="L385" i="7"/>
  <c r="O385" i="7" s="1"/>
  <c r="M385" i="7"/>
  <c r="P385" i="7" s="1"/>
  <c r="N385" i="7"/>
  <c r="N383" i="7" s="1"/>
  <c r="K387" i="7"/>
  <c r="K388" i="7"/>
  <c r="A391" i="7"/>
  <c r="L22" i="6"/>
  <c r="M22" i="6"/>
  <c r="P22" i="6" s="1"/>
  <c r="N22" i="6"/>
  <c r="L25" i="6"/>
  <c r="O25" i="6" s="1"/>
  <c r="M25" i="6"/>
  <c r="N25" i="6"/>
  <c r="L45" i="6"/>
  <c r="M45" i="6"/>
  <c r="P45" i="6" s="1"/>
  <c r="N45" i="6"/>
  <c r="O45" i="6"/>
  <c r="O48" i="6"/>
  <c r="P48" i="6"/>
  <c r="L49" i="6"/>
  <c r="L47" i="6" s="1"/>
  <c r="M49" i="6"/>
  <c r="M47" i="6" s="1"/>
  <c r="N49" i="6"/>
  <c r="O51" i="6"/>
  <c r="P51" i="6"/>
  <c r="L52" i="6"/>
  <c r="L50" i="6" s="1"/>
  <c r="O50" i="6" s="1"/>
  <c r="M52" i="6"/>
  <c r="P52" i="6" s="1"/>
  <c r="N52" i="6"/>
  <c r="N50" i="6" s="1"/>
  <c r="L60" i="6"/>
  <c r="M60" i="6"/>
  <c r="P60" i="6" s="1"/>
  <c r="N60" i="6"/>
  <c r="O63" i="6"/>
  <c r="P63" i="6"/>
  <c r="L64" i="6"/>
  <c r="L62" i="6" s="1"/>
  <c r="M64" i="6"/>
  <c r="N64" i="6"/>
  <c r="O66" i="6"/>
  <c r="P66" i="6"/>
  <c r="L67" i="6"/>
  <c r="L65" i="6" s="1"/>
  <c r="O65" i="6" s="1"/>
  <c r="M67" i="6"/>
  <c r="N67" i="6"/>
  <c r="N65" i="6" s="1"/>
  <c r="L73" i="6"/>
  <c r="M73" i="6"/>
  <c r="P73" i="6" s="1"/>
  <c r="N73" i="6"/>
  <c r="O73" i="6"/>
  <c r="O76" i="6"/>
  <c r="P76" i="6"/>
  <c r="L77" i="6"/>
  <c r="L75" i="6" s="1"/>
  <c r="O75" i="6" s="1"/>
  <c r="M77" i="6"/>
  <c r="M75" i="6" s="1"/>
  <c r="P75" i="6" s="1"/>
  <c r="N77" i="6"/>
  <c r="O79" i="6"/>
  <c r="P79" i="6"/>
  <c r="L80" i="6"/>
  <c r="L78" i="6" s="1"/>
  <c r="O78" i="6" s="1"/>
  <c r="M80" i="6"/>
  <c r="M78" i="6" s="1"/>
  <c r="P78" i="6" s="1"/>
  <c r="N80" i="6"/>
  <c r="N78" i="6" s="1"/>
  <c r="J82" i="6"/>
  <c r="J70" i="6" s="1"/>
  <c r="J83" i="6"/>
  <c r="J71" i="6" s="1"/>
  <c r="I84" i="6"/>
  <c r="K84" i="6" s="1"/>
  <c r="I85" i="6"/>
  <c r="I86" i="6"/>
  <c r="K86" i="6" s="1"/>
  <c r="I87" i="6"/>
  <c r="K87" i="6" s="1"/>
  <c r="I88" i="6"/>
  <c r="K88" i="6" s="1"/>
  <c r="I89" i="6"/>
  <c r="K89" i="6" s="1"/>
  <c r="I90" i="6"/>
  <c r="K90" i="6" s="1"/>
  <c r="J92" i="6"/>
  <c r="J93" i="6"/>
  <c r="L95" i="6"/>
  <c r="M95" i="6"/>
  <c r="N95" i="6"/>
  <c r="P95" i="6"/>
  <c r="O98" i="6"/>
  <c r="P98" i="6"/>
  <c r="L99" i="6"/>
  <c r="L97" i="6" s="1"/>
  <c r="O97" i="6" s="1"/>
  <c r="M99" i="6"/>
  <c r="M97" i="6" s="1"/>
  <c r="P97" i="6" s="1"/>
  <c r="N99" i="6"/>
  <c r="N97" i="6" s="1"/>
  <c r="O101" i="6"/>
  <c r="P101" i="6"/>
  <c r="L102" i="6"/>
  <c r="L100" i="6" s="1"/>
  <c r="O100" i="6" s="1"/>
  <c r="M102" i="6"/>
  <c r="M100" i="6" s="1"/>
  <c r="P100" i="6" s="1"/>
  <c r="N102" i="6"/>
  <c r="N100" i="6" s="1"/>
  <c r="I108" i="6"/>
  <c r="I109" i="6"/>
  <c r="K109" i="6" s="1"/>
  <c r="I117" i="6"/>
  <c r="K117" i="6" s="1"/>
  <c r="L126" i="6"/>
  <c r="O126" i="6" s="1"/>
  <c r="M126" i="6"/>
  <c r="N126" i="6"/>
  <c r="O129" i="6"/>
  <c r="P129" i="6"/>
  <c r="L130" i="6"/>
  <c r="O130" i="6" s="1"/>
  <c r="M130" i="6"/>
  <c r="N130" i="6"/>
  <c r="N128" i="6" s="1"/>
  <c r="O132" i="6"/>
  <c r="P132" i="6"/>
  <c r="L133" i="6"/>
  <c r="O133" i="6" s="1"/>
  <c r="M133" i="6"/>
  <c r="P133" i="6" s="1"/>
  <c r="N133" i="6"/>
  <c r="N131" i="6" s="1"/>
  <c r="J136" i="6"/>
  <c r="J137" i="6"/>
  <c r="J138" i="6"/>
  <c r="L140" i="6"/>
  <c r="M140" i="6"/>
  <c r="N140" i="6"/>
  <c r="O140" i="6"/>
  <c r="O143" i="6"/>
  <c r="P143" i="6"/>
  <c r="L144" i="6"/>
  <c r="L142" i="6" s="1"/>
  <c r="M144" i="6"/>
  <c r="M142" i="6" s="1"/>
  <c r="N144" i="6"/>
  <c r="O146" i="6"/>
  <c r="P146" i="6"/>
  <c r="L147" i="6"/>
  <c r="O147" i="6" s="1"/>
  <c r="M147" i="6"/>
  <c r="M145" i="6" s="1"/>
  <c r="P145" i="6" s="1"/>
  <c r="N147" i="6"/>
  <c r="N145" i="6" s="1"/>
  <c r="I150" i="6"/>
  <c r="K150" i="6" s="1"/>
  <c r="I151" i="6"/>
  <c r="K151" i="6" s="1"/>
  <c r="I152" i="6"/>
  <c r="I137" i="6" s="1"/>
  <c r="K137" i="6" s="1"/>
  <c r="I153" i="6"/>
  <c r="I138" i="6" s="1"/>
  <c r="K138" i="6" s="1"/>
  <c r="I154" i="6"/>
  <c r="K154" i="6" s="1"/>
  <c r="J156" i="6"/>
  <c r="L158" i="6"/>
  <c r="O158" i="6" s="1"/>
  <c r="M158" i="6"/>
  <c r="P158" i="6" s="1"/>
  <c r="N158" i="6"/>
  <c r="O161" i="6"/>
  <c r="P161" i="6"/>
  <c r="L162" i="6"/>
  <c r="L160" i="6" s="1"/>
  <c r="O160" i="6" s="1"/>
  <c r="M162" i="6"/>
  <c r="M160" i="6" s="1"/>
  <c r="P160" i="6" s="1"/>
  <c r="N162" i="6"/>
  <c r="N160" i="6" s="1"/>
  <c r="O164" i="6"/>
  <c r="P164" i="6"/>
  <c r="L165" i="6"/>
  <c r="L163" i="6" s="1"/>
  <c r="O163" i="6" s="1"/>
  <c r="M165" i="6"/>
  <c r="M163" i="6" s="1"/>
  <c r="P163" i="6" s="1"/>
  <c r="N165" i="6"/>
  <c r="N163" i="6" s="1"/>
  <c r="I167" i="6"/>
  <c r="K167" i="6" s="1"/>
  <c r="I168" i="6"/>
  <c r="K168" i="6" s="1"/>
  <c r="I169" i="6"/>
  <c r="I156" i="6" s="1"/>
  <c r="K156" i="6" s="1"/>
  <c r="J172" i="6"/>
  <c r="L174" i="6"/>
  <c r="O174" i="6" s="1"/>
  <c r="M174" i="6"/>
  <c r="P174" i="6" s="1"/>
  <c r="N174" i="6"/>
  <c r="O177" i="6"/>
  <c r="P177" i="6"/>
  <c r="L178" i="6"/>
  <c r="L176" i="6" s="1"/>
  <c r="M178" i="6"/>
  <c r="M176" i="6" s="1"/>
  <c r="N178" i="6"/>
  <c r="N176" i="6" s="1"/>
  <c r="O180" i="6"/>
  <c r="P180" i="6"/>
  <c r="L181" i="6"/>
  <c r="L179" i="6" s="1"/>
  <c r="O179" i="6" s="1"/>
  <c r="M181" i="6"/>
  <c r="M179" i="6" s="1"/>
  <c r="P179" i="6" s="1"/>
  <c r="N181" i="6"/>
  <c r="N179" i="6" s="1"/>
  <c r="I183" i="6"/>
  <c r="I172" i="6" s="1"/>
  <c r="K172" i="6" s="1"/>
  <c r="K184" i="6"/>
  <c r="L187" i="6"/>
  <c r="M187" i="6"/>
  <c r="N187" i="6"/>
  <c r="P187" i="6"/>
  <c r="O190" i="6"/>
  <c r="P190" i="6"/>
  <c r="L191" i="6"/>
  <c r="M191" i="6"/>
  <c r="M189" i="6" s="1"/>
  <c r="N191" i="6"/>
  <c r="O193" i="6"/>
  <c r="P193" i="6"/>
  <c r="L194" i="6"/>
  <c r="L192" i="6" s="1"/>
  <c r="O192" i="6" s="1"/>
  <c r="M194" i="6"/>
  <c r="M192" i="6" s="1"/>
  <c r="P192" i="6" s="1"/>
  <c r="N194" i="6"/>
  <c r="N192" i="6" s="1"/>
  <c r="J195" i="6"/>
  <c r="L196" i="6"/>
  <c r="O196" i="6" s="1"/>
  <c r="P196" i="6"/>
  <c r="I198" i="6"/>
  <c r="I195" i="6" s="1"/>
  <c r="J199" i="6"/>
  <c r="J202" i="6"/>
  <c r="N203" i="6"/>
  <c r="P203" i="6"/>
  <c r="L204" i="6"/>
  <c r="L205" i="6"/>
  <c r="L206" i="6"/>
  <c r="L207" i="6"/>
  <c r="I209" i="6"/>
  <c r="I211" i="6"/>
  <c r="K211" i="6" s="1"/>
  <c r="I212" i="6"/>
  <c r="K212" i="6" s="1"/>
  <c r="J213" i="6"/>
  <c r="N214" i="6"/>
  <c r="P214" i="6"/>
  <c r="L215" i="6"/>
  <c r="L216" i="6"/>
  <c r="L217" i="6"/>
  <c r="I219" i="6"/>
  <c r="K219" i="6" s="1"/>
  <c r="I220" i="6"/>
  <c r="K220" i="6" s="1"/>
  <c r="J221" i="6"/>
  <c r="N222" i="6"/>
  <c r="P222" i="6"/>
  <c r="L223" i="6"/>
  <c r="L224" i="6"/>
  <c r="L225" i="6"/>
  <c r="I228" i="6"/>
  <c r="K228" i="6" s="1"/>
  <c r="I229" i="6"/>
  <c r="I221" i="6" s="1"/>
  <c r="K221" i="6" s="1"/>
  <c r="I230" i="6"/>
  <c r="N233" i="6"/>
  <c r="N234" i="6"/>
  <c r="N235" i="6"/>
  <c r="N236" i="6"/>
  <c r="J238" i="6"/>
  <c r="I240" i="6"/>
  <c r="J240" i="6"/>
  <c r="K240" i="6"/>
  <c r="I241" i="6"/>
  <c r="J241" i="6"/>
  <c r="K241" i="6"/>
  <c r="J242" i="6"/>
  <c r="N243" i="6"/>
  <c r="P243" i="6"/>
  <c r="L244" i="6"/>
  <c r="L245" i="6"/>
  <c r="L246" i="6"/>
  <c r="L247" i="6"/>
  <c r="I249" i="6"/>
  <c r="K251" i="6"/>
  <c r="K252" i="6"/>
  <c r="J253" i="6"/>
  <c r="J231" i="6" s="1"/>
  <c r="J185" i="6" s="1"/>
  <c r="N254" i="6"/>
  <c r="P254" i="6"/>
  <c r="L255" i="6"/>
  <c r="L256" i="6"/>
  <c r="L257" i="6"/>
  <c r="L258" i="6"/>
  <c r="I260" i="6"/>
  <c r="I253" i="6" s="1"/>
  <c r="K253" i="6" s="1"/>
  <c r="K262" i="6"/>
  <c r="K263" i="6"/>
  <c r="I265" i="6"/>
  <c r="K265" i="6" s="1"/>
  <c r="J265" i="6"/>
  <c r="L267" i="6"/>
  <c r="M267" i="6"/>
  <c r="P267" i="6" s="1"/>
  <c r="N267" i="6"/>
  <c r="O267" i="6"/>
  <c r="O270" i="6"/>
  <c r="P270" i="6"/>
  <c r="L271" i="6"/>
  <c r="L269" i="6" s="1"/>
  <c r="O269" i="6" s="1"/>
  <c r="M271" i="6"/>
  <c r="M269" i="6" s="1"/>
  <c r="P269" i="6" s="1"/>
  <c r="N271" i="6"/>
  <c r="N269" i="6" s="1"/>
  <c r="O273" i="6"/>
  <c r="P273" i="6"/>
  <c r="L274" i="6"/>
  <c r="L272" i="6" s="1"/>
  <c r="O272" i="6" s="1"/>
  <c r="M274" i="6"/>
  <c r="M272" i="6" s="1"/>
  <c r="P272" i="6" s="1"/>
  <c r="N274" i="6"/>
  <c r="N272" i="6" s="1"/>
  <c r="J281" i="6"/>
  <c r="L283" i="6"/>
  <c r="M283" i="6"/>
  <c r="P283" i="6" s="1"/>
  <c r="N283" i="6"/>
  <c r="O283" i="6"/>
  <c r="O286" i="6"/>
  <c r="P286" i="6"/>
  <c r="L287" i="6"/>
  <c r="M287" i="6"/>
  <c r="M285" i="6" s="1"/>
  <c r="N287" i="6"/>
  <c r="O289" i="6"/>
  <c r="P289" i="6"/>
  <c r="L290" i="6"/>
  <c r="O290" i="6" s="1"/>
  <c r="M290" i="6"/>
  <c r="M288" i="6" s="1"/>
  <c r="P288" i="6" s="1"/>
  <c r="N290" i="6"/>
  <c r="N288" i="6" s="1"/>
  <c r="I292" i="6"/>
  <c r="K292" i="6" s="1"/>
  <c r="I293" i="6"/>
  <c r="K293" i="6" s="1"/>
  <c r="J293" i="6"/>
  <c r="J280" i="6" s="1"/>
  <c r="I295" i="6"/>
  <c r="K295" i="6" s="1"/>
  <c r="I296" i="6"/>
  <c r="K296" i="6" s="1"/>
  <c r="J302" i="6"/>
  <c r="L304" i="6"/>
  <c r="M304" i="6"/>
  <c r="P304" i="6" s="1"/>
  <c r="N304" i="6"/>
  <c r="O304" i="6"/>
  <c r="O307" i="6"/>
  <c r="P307" i="6"/>
  <c r="L308" i="6"/>
  <c r="L306" i="6" s="1"/>
  <c r="O306" i="6" s="1"/>
  <c r="M308" i="6"/>
  <c r="M306" i="6" s="1"/>
  <c r="P306" i="6" s="1"/>
  <c r="N308" i="6"/>
  <c r="N306" i="6" s="1"/>
  <c r="O310" i="6"/>
  <c r="P310" i="6"/>
  <c r="L311" i="6"/>
  <c r="L309" i="6" s="1"/>
  <c r="O309" i="6" s="1"/>
  <c r="M311" i="6"/>
  <c r="M309" i="6" s="1"/>
  <c r="P309" i="6" s="1"/>
  <c r="N311" i="6"/>
  <c r="N309" i="6" s="1"/>
  <c r="I314" i="6"/>
  <c r="K314" i="6" s="1"/>
  <c r="I315" i="6"/>
  <c r="K315" i="6" s="1"/>
  <c r="I316" i="6"/>
  <c r="K316" i="6" s="1"/>
  <c r="I317" i="6"/>
  <c r="K317" i="6" s="1"/>
  <c r="J319" i="6"/>
  <c r="L321" i="6"/>
  <c r="O321" i="6" s="1"/>
  <c r="M321" i="6"/>
  <c r="N321" i="6"/>
  <c r="O324" i="6"/>
  <c r="P324" i="6"/>
  <c r="L325" i="6"/>
  <c r="L323" i="6" s="1"/>
  <c r="O323" i="6" s="1"/>
  <c r="M325" i="6"/>
  <c r="M323" i="6" s="1"/>
  <c r="P323" i="6" s="1"/>
  <c r="N325" i="6"/>
  <c r="O327" i="6"/>
  <c r="P327" i="6"/>
  <c r="L328" i="6"/>
  <c r="L326" i="6" s="1"/>
  <c r="O326" i="6" s="1"/>
  <c r="M328" i="6"/>
  <c r="M326" i="6" s="1"/>
  <c r="P326" i="6" s="1"/>
  <c r="N328" i="6"/>
  <c r="N326" i="6" s="1"/>
  <c r="I330" i="6"/>
  <c r="K330" i="6" s="1"/>
  <c r="L334" i="6"/>
  <c r="O334" i="6" s="1"/>
  <c r="M334" i="6"/>
  <c r="N334" i="6"/>
  <c r="O337" i="6"/>
  <c r="P337" i="6"/>
  <c r="L338" i="6"/>
  <c r="M338" i="6"/>
  <c r="M336" i="6" s="1"/>
  <c r="N338" i="6"/>
  <c r="N336" i="6" s="1"/>
  <c r="O340" i="6"/>
  <c r="P340" i="6"/>
  <c r="L341" i="6"/>
  <c r="M341" i="6"/>
  <c r="P341" i="6" s="1"/>
  <c r="N341" i="6"/>
  <c r="N339" i="6" s="1"/>
  <c r="I344" i="6"/>
  <c r="I332" i="6" s="1"/>
  <c r="J344" i="6"/>
  <c r="I346" i="6"/>
  <c r="J346" i="6"/>
  <c r="J347" i="6"/>
  <c r="J348" i="6"/>
  <c r="J349" i="6"/>
  <c r="D350" i="6"/>
  <c r="J352" i="6"/>
  <c r="J353" i="6"/>
  <c r="D354" i="6"/>
  <c r="L357" i="6"/>
  <c r="O357" i="6" s="1"/>
  <c r="M357" i="6"/>
  <c r="N357" i="6"/>
  <c r="O360" i="6"/>
  <c r="P360" i="6"/>
  <c r="L361" i="6"/>
  <c r="M361" i="6"/>
  <c r="N361" i="6"/>
  <c r="N359" i="6" s="1"/>
  <c r="O363" i="6"/>
  <c r="P363" i="6"/>
  <c r="L364" i="6"/>
  <c r="O364" i="6" s="1"/>
  <c r="M364" i="6"/>
  <c r="P364" i="6" s="1"/>
  <c r="N364" i="6"/>
  <c r="N362" i="6" s="1"/>
  <c r="J367" i="6"/>
  <c r="K367" i="6"/>
  <c r="I368" i="6"/>
  <c r="J368" i="6"/>
  <c r="I369" i="6"/>
  <c r="J369" i="6"/>
  <c r="J370" i="6"/>
  <c r="K370" i="6"/>
  <c r="I371" i="6"/>
  <c r="I365" i="6" s="1"/>
  <c r="J371" i="6"/>
  <c r="J365" i="6" s="1"/>
  <c r="J372" i="6"/>
  <c r="K372" i="6"/>
  <c r="D373" i="6"/>
  <c r="I376" i="6"/>
  <c r="K376" i="6" s="1"/>
  <c r="J376" i="6"/>
  <c r="L378" i="6"/>
  <c r="M378" i="6"/>
  <c r="N378" i="6"/>
  <c r="P378" i="6"/>
  <c r="O381" i="6"/>
  <c r="P381" i="6"/>
  <c r="L382" i="6"/>
  <c r="L380" i="6" s="1"/>
  <c r="O380" i="6" s="1"/>
  <c r="M382" i="6"/>
  <c r="M380" i="6" s="1"/>
  <c r="P380" i="6" s="1"/>
  <c r="N382" i="6"/>
  <c r="N380" i="6" s="1"/>
  <c r="O384" i="6"/>
  <c r="P384" i="6"/>
  <c r="L385" i="6"/>
  <c r="O385" i="6" s="1"/>
  <c r="M385" i="6"/>
  <c r="M383" i="6" s="1"/>
  <c r="P383" i="6" s="1"/>
  <c r="N385" i="6"/>
  <c r="N383" i="6" s="1"/>
  <c r="K387" i="6"/>
  <c r="K388" i="6"/>
  <c r="A391" i="6"/>
  <c r="L22" i="5"/>
  <c r="M22" i="5"/>
  <c r="N22" i="5"/>
  <c r="L25" i="5"/>
  <c r="O25" i="5" s="1"/>
  <c r="M25" i="5"/>
  <c r="P25" i="5" s="1"/>
  <c r="N25" i="5"/>
  <c r="L45" i="5"/>
  <c r="O45" i="5" s="1"/>
  <c r="M45" i="5"/>
  <c r="P45" i="5" s="1"/>
  <c r="N45" i="5"/>
  <c r="O48" i="5"/>
  <c r="P48" i="5"/>
  <c r="L49" i="5"/>
  <c r="M49" i="5"/>
  <c r="M47" i="5" s="1"/>
  <c r="N49" i="5"/>
  <c r="N47" i="5" s="1"/>
  <c r="O51" i="5"/>
  <c r="P51" i="5"/>
  <c r="L52" i="5"/>
  <c r="O52" i="5" s="1"/>
  <c r="M52" i="5"/>
  <c r="P52" i="5" s="1"/>
  <c r="N52" i="5"/>
  <c r="L60" i="5"/>
  <c r="M60" i="5"/>
  <c r="P60" i="5" s="1"/>
  <c r="N60" i="5"/>
  <c r="O63" i="5"/>
  <c r="P63" i="5"/>
  <c r="L64" i="5"/>
  <c r="L62" i="5" s="1"/>
  <c r="M64" i="5"/>
  <c r="N64" i="5"/>
  <c r="O66" i="5"/>
  <c r="P66" i="5"/>
  <c r="L67" i="5"/>
  <c r="L65" i="5" s="1"/>
  <c r="O65" i="5" s="1"/>
  <c r="M67" i="5"/>
  <c r="N67" i="5"/>
  <c r="N65" i="5" s="1"/>
  <c r="L73" i="5"/>
  <c r="O73" i="5" s="1"/>
  <c r="M73" i="5"/>
  <c r="P73" i="5" s="1"/>
  <c r="N73" i="5"/>
  <c r="O76" i="5"/>
  <c r="P76" i="5"/>
  <c r="L77" i="5"/>
  <c r="L75" i="5" s="1"/>
  <c r="O75" i="5" s="1"/>
  <c r="M77" i="5"/>
  <c r="M75" i="5" s="1"/>
  <c r="P75" i="5" s="1"/>
  <c r="N77" i="5"/>
  <c r="N75" i="5" s="1"/>
  <c r="O79" i="5"/>
  <c r="P79" i="5"/>
  <c r="L80" i="5"/>
  <c r="O80" i="5" s="1"/>
  <c r="M80" i="5"/>
  <c r="M78" i="5" s="1"/>
  <c r="P78" i="5" s="1"/>
  <c r="N80" i="5"/>
  <c r="N78" i="5" s="1"/>
  <c r="J82" i="5"/>
  <c r="J70" i="5" s="1"/>
  <c r="J83" i="5"/>
  <c r="J71" i="5" s="1"/>
  <c r="I84" i="5"/>
  <c r="I85" i="5"/>
  <c r="K85" i="5" s="1"/>
  <c r="I86" i="5"/>
  <c r="K86" i="5" s="1"/>
  <c r="I87" i="5"/>
  <c r="K87" i="5" s="1"/>
  <c r="I88" i="5"/>
  <c r="K88" i="5" s="1"/>
  <c r="I89" i="5"/>
  <c r="K89" i="5" s="1"/>
  <c r="I90" i="5"/>
  <c r="K90" i="5" s="1"/>
  <c r="J92" i="5"/>
  <c r="J93" i="5"/>
  <c r="L95" i="5"/>
  <c r="O95" i="5" s="1"/>
  <c r="M95" i="5"/>
  <c r="P95" i="5" s="1"/>
  <c r="N95" i="5"/>
  <c r="O98" i="5"/>
  <c r="P98" i="5"/>
  <c r="L99" i="5"/>
  <c r="L97" i="5" s="1"/>
  <c r="O97" i="5" s="1"/>
  <c r="M99" i="5"/>
  <c r="N99" i="5"/>
  <c r="N97" i="5" s="1"/>
  <c r="O101" i="5"/>
  <c r="P101" i="5"/>
  <c r="L102" i="5"/>
  <c r="L100" i="5" s="1"/>
  <c r="O100" i="5" s="1"/>
  <c r="M102" i="5"/>
  <c r="P102" i="5" s="1"/>
  <c r="N102" i="5"/>
  <c r="N100" i="5" s="1"/>
  <c r="I108" i="5"/>
  <c r="I109" i="5"/>
  <c r="K109" i="5" s="1"/>
  <c r="I117" i="5"/>
  <c r="K117" i="5" s="1"/>
  <c r="L126" i="5"/>
  <c r="O126" i="5" s="1"/>
  <c r="M126" i="5"/>
  <c r="N126" i="5"/>
  <c r="O129" i="5"/>
  <c r="P129" i="5"/>
  <c r="L130" i="5"/>
  <c r="O130" i="5" s="1"/>
  <c r="M130" i="5"/>
  <c r="P130" i="5" s="1"/>
  <c r="N130" i="5"/>
  <c r="N128" i="5" s="1"/>
  <c r="O132" i="5"/>
  <c r="P132" i="5"/>
  <c r="L133" i="5"/>
  <c r="O133" i="5" s="1"/>
  <c r="M133" i="5"/>
  <c r="P133" i="5" s="1"/>
  <c r="N133" i="5"/>
  <c r="N131" i="5" s="1"/>
  <c r="J136" i="5"/>
  <c r="J137" i="5"/>
  <c r="J138" i="5"/>
  <c r="L140" i="5"/>
  <c r="O140" i="5" s="1"/>
  <c r="M140" i="5"/>
  <c r="N140" i="5"/>
  <c r="O143" i="5"/>
  <c r="P143" i="5"/>
  <c r="L144" i="5"/>
  <c r="M144" i="5"/>
  <c r="M142" i="5" s="1"/>
  <c r="N144" i="5"/>
  <c r="N142" i="5" s="1"/>
  <c r="O146" i="5"/>
  <c r="P146" i="5"/>
  <c r="L147" i="5"/>
  <c r="O147" i="5" s="1"/>
  <c r="M147" i="5"/>
  <c r="P147" i="5" s="1"/>
  <c r="N147" i="5"/>
  <c r="N145" i="5" s="1"/>
  <c r="I150" i="5"/>
  <c r="K150" i="5" s="1"/>
  <c r="I151" i="5"/>
  <c r="K151" i="5" s="1"/>
  <c r="I152" i="5"/>
  <c r="K152" i="5" s="1"/>
  <c r="I153" i="5"/>
  <c r="I138" i="5" s="1"/>
  <c r="I154" i="5"/>
  <c r="I136" i="5" s="1"/>
  <c r="K136" i="5" s="1"/>
  <c r="J156" i="5"/>
  <c r="L158" i="5"/>
  <c r="O158" i="5" s="1"/>
  <c r="M158" i="5"/>
  <c r="P158" i="5" s="1"/>
  <c r="N158" i="5"/>
  <c r="O161" i="5"/>
  <c r="P161" i="5"/>
  <c r="L162" i="5"/>
  <c r="L160" i="5" s="1"/>
  <c r="M162" i="5"/>
  <c r="M160" i="5" s="1"/>
  <c r="P160" i="5" s="1"/>
  <c r="N162" i="5"/>
  <c r="N160" i="5" s="1"/>
  <c r="O164" i="5"/>
  <c r="P164" i="5"/>
  <c r="L165" i="5"/>
  <c r="L163" i="5" s="1"/>
  <c r="O163" i="5" s="1"/>
  <c r="M165" i="5"/>
  <c r="M163" i="5" s="1"/>
  <c r="P163" i="5" s="1"/>
  <c r="N165" i="5"/>
  <c r="N163" i="5" s="1"/>
  <c r="I167" i="5"/>
  <c r="I156" i="5" s="1"/>
  <c r="K156" i="5" s="1"/>
  <c r="J172" i="5"/>
  <c r="L174" i="5"/>
  <c r="O174" i="5" s="1"/>
  <c r="M174" i="5"/>
  <c r="N174" i="5"/>
  <c r="O177" i="5"/>
  <c r="P177" i="5"/>
  <c r="L178" i="5"/>
  <c r="L176" i="5" s="1"/>
  <c r="M178" i="5"/>
  <c r="M176" i="5" s="1"/>
  <c r="N178" i="5"/>
  <c r="O180" i="5"/>
  <c r="P180" i="5"/>
  <c r="L181" i="5"/>
  <c r="L179" i="5" s="1"/>
  <c r="O179" i="5" s="1"/>
  <c r="M181" i="5"/>
  <c r="M179" i="5" s="1"/>
  <c r="P179" i="5" s="1"/>
  <c r="N181" i="5"/>
  <c r="N179" i="5" s="1"/>
  <c r="I183" i="5"/>
  <c r="I172" i="5" s="1"/>
  <c r="K172" i="5" s="1"/>
  <c r="K184" i="5"/>
  <c r="L187" i="5"/>
  <c r="M187" i="5"/>
  <c r="N187" i="5"/>
  <c r="P187" i="5"/>
  <c r="O190" i="5"/>
  <c r="P190" i="5"/>
  <c r="L191" i="5"/>
  <c r="L189" i="5" s="1"/>
  <c r="M191" i="5"/>
  <c r="N191" i="5"/>
  <c r="O193" i="5"/>
  <c r="P193" i="5"/>
  <c r="L194" i="5"/>
  <c r="O194" i="5" s="1"/>
  <c r="M194" i="5"/>
  <c r="N194" i="5"/>
  <c r="N192" i="5" s="1"/>
  <c r="J195" i="5"/>
  <c r="L196" i="5"/>
  <c r="O196" i="5" s="1"/>
  <c r="P196" i="5"/>
  <c r="I198" i="5"/>
  <c r="K198" i="5" s="1"/>
  <c r="J199" i="5"/>
  <c r="J202" i="5"/>
  <c r="N203" i="5"/>
  <c r="P203" i="5"/>
  <c r="L204" i="5"/>
  <c r="L205" i="5"/>
  <c r="L206" i="5"/>
  <c r="L207" i="5"/>
  <c r="I209" i="5"/>
  <c r="I211" i="5"/>
  <c r="K211" i="5" s="1"/>
  <c r="I212" i="5"/>
  <c r="K212" i="5" s="1"/>
  <c r="J213" i="5"/>
  <c r="N214" i="5"/>
  <c r="P214" i="5"/>
  <c r="L215" i="5"/>
  <c r="L216" i="5"/>
  <c r="L217" i="5"/>
  <c r="I219" i="5"/>
  <c r="K219" i="5" s="1"/>
  <c r="I220" i="5"/>
  <c r="K220" i="5" s="1"/>
  <c r="J221" i="5"/>
  <c r="N222" i="5"/>
  <c r="P222" i="5"/>
  <c r="L223" i="5"/>
  <c r="L224" i="5"/>
  <c r="L225" i="5"/>
  <c r="I228" i="5"/>
  <c r="K228" i="5" s="1"/>
  <c r="I229" i="5"/>
  <c r="I221" i="5" s="1"/>
  <c r="K221" i="5" s="1"/>
  <c r="I230" i="5"/>
  <c r="K230" i="5" s="1"/>
  <c r="J231" i="5"/>
  <c r="J185" i="5" s="1"/>
  <c r="N233" i="5"/>
  <c r="N234" i="5"/>
  <c r="N235" i="5"/>
  <c r="N236" i="5"/>
  <c r="J238" i="5"/>
  <c r="I240" i="5"/>
  <c r="J240" i="5"/>
  <c r="K240" i="5"/>
  <c r="I241" i="5"/>
  <c r="J241" i="5"/>
  <c r="K241" i="5"/>
  <c r="J242" i="5"/>
  <c r="N243" i="5"/>
  <c r="N232" i="5" s="1"/>
  <c r="P243" i="5"/>
  <c r="L244" i="5"/>
  <c r="L245" i="5"/>
  <c r="L246" i="5"/>
  <c r="L247" i="5"/>
  <c r="I249" i="5"/>
  <c r="K251" i="5"/>
  <c r="K252" i="5"/>
  <c r="J253" i="5"/>
  <c r="N254" i="5"/>
  <c r="P254" i="5"/>
  <c r="L255" i="5"/>
  <c r="L256" i="5"/>
  <c r="L257" i="5"/>
  <c r="L258" i="5"/>
  <c r="I260" i="5"/>
  <c r="K262" i="5"/>
  <c r="K263" i="5"/>
  <c r="I265" i="5"/>
  <c r="K265" i="5" s="1"/>
  <c r="J265" i="5"/>
  <c r="L267" i="5"/>
  <c r="M267" i="5"/>
  <c r="N267" i="5"/>
  <c r="P267" i="5"/>
  <c r="O270" i="5"/>
  <c r="P270" i="5"/>
  <c r="L271" i="5"/>
  <c r="O271" i="5" s="1"/>
  <c r="M271" i="5"/>
  <c r="M269" i="5" s="1"/>
  <c r="P269" i="5" s="1"/>
  <c r="N271" i="5"/>
  <c r="N269" i="5" s="1"/>
  <c r="O273" i="5"/>
  <c r="P273" i="5"/>
  <c r="L274" i="5"/>
  <c r="O274" i="5" s="1"/>
  <c r="M274" i="5"/>
  <c r="M272" i="5" s="1"/>
  <c r="P272" i="5" s="1"/>
  <c r="N274" i="5"/>
  <c r="N272" i="5" s="1"/>
  <c r="J281" i="5"/>
  <c r="L283" i="5"/>
  <c r="M283" i="5"/>
  <c r="N283" i="5"/>
  <c r="O283" i="5"/>
  <c r="O286" i="5"/>
  <c r="P286" i="5"/>
  <c r="L287" i="5"/>
  <c r="L285" i="5" s="1"/>
  <c r="M287" i="5"/>
  <c r="M285" i="5" s="1"/>
  <c r="N287" i="5"/>
  <c r="N285" i="5" s="1"/>
  <c r="O289" i="5"/>
  <c r="P289" i="5"/>
  <c r="L290" i="5"/>
  <c r="O290" i="5" s="1"/>
  <c r="M290" i="5"/>
  <c r="M288" i="5" s="1"/>
  <c r="P288" i="5" s="1"/>
  <c r="N290" i="5"/>
  <c r="N288" i="5" s="1"/>
  <c r="I292" i="5"/>
  <c r="I293" i="5"/>
  <c r="I280" i="5" s="1"/>
  <c r="K280" i="5" s="1"/>
  <c r="J293" i="5"/>
  <c r="J280" i="5" s="1"/>
  <c r="I295" i="5"/>
  <c r="K295" i="5" s="1"/>
  <c r="I296" i="5"/>
  <c r="K296" i="5" s="1"/>
  <c r="J302" i="5"/>
  <c r="L304" i="5"/>
  <c r="M304" i="5"/>
  <c r="N304" i="5"/>
  <c r="P304" i="5"/>
  <c r="O307" i="5"/>
  <c r="P307" i="5"/>
  <c r="L308" i="5"/>
  <c r="M308" i="5"/>
  <c r="M306" i="5" s="1"/>
  <c r="N308" i="5"/>
  <c r="N306" i="5" s="1"/>
  <c r="O310" i="5"/>
  <c r="P310" i="5"/>
  <c r="L311" i="5"/>
  <c r="O311" i="5" s="1"/>
  <c r="M311" i="5"/>
  <c r="M309" i="5" s="1"/>
  <c r="P309" i="5" s="1"/>
  <c r="N311" i="5"/>
  <c r="I314" i="5"/>
  <c r="K314" i="5" s="1"/>
  <c r="I315" i="5"/>
  <c r="K315" i="5" s="1"/>
  <c r="I316" i="5"/>
  <c r="K316" i="5" s="1"/>
  <c r="I317" i="5"/>
  <c r="K317" i="5" s="1"/>
  <c r="J319" i="5"/>
  <c r="L321" i="5"/>
  <c r="O321" i="5" s="1"/>
  <c r="M321" i="5"/>
  <c r="P321" i="5" s="1"/>
  <c r="N321" i="5"/>
  <c r="O324" i="5"/>
  <c r="P324" i="5"/>
  <c r="L325" i="5"/>
  <c r="M325" i="5"/>
  <c r="M323" i="5" s="1"/>
  <c r="P323" i="5" s="1"/>
  <c r="N325" i="5"/>
  <c r="N323" i="5" s="1"/>
  <c r="O327" i="5"/>
  <c r="P327" i="5"/>
  <c r="L328" i="5"/>
  <c r="O328" i="5" s="1"/>
  <c r="M328" i="5"/>
  <c r="P328" i="5" s="1"/>
  <c r="N328" i="5"/>
  <c r="N326" i="5" s="1"/>
  <c r="I330" i="5"/>
  <c r="I319" i="5" s="1"/>
  <c r="K319" i="5" s="1"/>
  <c r="L334" i="5"/>
  <c r="O334" i="5" s="1"/>
  <c r="M334" i="5"/>
  <c r="N334" i="5"/>
  <c r="P334" i="5"/>
  <c r="O337" i="5"/>
  <c r="P337" i="5"/>
  <c r="L338" i="5"/>
  <c r="L336" i="5" s="1"/>
  <c r="M338" i="5"/>
  <c r="M336" i="5" s="1"/>
  <c r="N338" i="5"/>
  <c r="O340" i="5"/>
  <c r="P340" i="5"/>
  <c r="L341" i="5"/>
  <c r="O341" i="5" s="1"/>
  <c r="M341" i="5"/>
  <c r="P341" i="5" s="1"/>
  <c r="N341" i="5"/>
  <c r="N339" i="5" s="1"/>
  <c r="I344" i="5"/>
  <c r="I332" i="5" s="1"/>
  <c r="J344" i="5"/>
  <c r="I346" i="5"/>
  <c r="J346" i="5"/>
  <c r="J347" i="5"/>
  <c r="J348" i="5"/>
  <c r="J349" i="5"/>
  <c r="D350" i="5"/>
  <c r="J352" i="5"/>
  <c r="J353" i="5"/>
  <c r="D354" i="5"/>
  <c r="L357" i="5"/>
  <c r="O357" i="5" s="1"/>
  <c r="M357" i="5"/>
  <c r="N357" i="5"/>
  <c r="O360" i="5"/>
  <c r="P360" i="5"/>
  <c r="L361" i="5"/>
  <c r="M361" i="5"/>
  <c r="M359" i="5" s="1"/>
  <c r="N361" i="5"/>
  <c r="N359" i="5" s="1"/>
  <c r="O363" i="5"/>
  <c r="P363" i="5"/>
  <c r="L364" i="5"/>
  <c r="O364" i="5" s="1"/>
  <c r="M364" i="5"/>
  <c r="P364" i="5" s="1"/>
  <c r="N364" i="5"/>
  <c r="N362" i="5" s="1"/>
  <c r="J367" i="5"/>
  <c r="K367" i="5"/>
  <c r="I368" i="5"/>
  <c r="J368" i="5"/>
  <c r="I369" i="5"/>
  <c r="J369" i="5"/>
  <c r="J370" i="5"/>
  <c r="K370" i="5"/>
  <c r="I371" i="5"/>
  <c r="J371" i="5"/>
  <c r="J365" i="5" s="1"/>
  <c r="J372" i="5"/>
  <c r="K372" i="5"/>
  <c r="D373" i="5"/>
  <c r="I376" i="5"/>
  <c r="K376" i="5" s="1"/>
  <c r="J376" i="5"/>
  <c r="L378" i="5"/>
  <c r="M378" i="5"/>
  <c r="N378" i="5"/>
  <c r="O378" i="5"/>
  <c r="P378" i="5"/>
  <c r="O381" i="5"/>
  <c r="P381" i="5"/>
  <c r="L382" i="5"/>
  <c r="L380" i="5" s="1"/>
  <c r="O380" i="5" s="1"/>
  <c r="M382" i="5"/>
  <c r="M380" i="5" s="1"/>
  <c r="P380" i="5" s="1"/>
  <c r="N382" i="5"/>
  <c r="N380" i="5" s="1"/>
  <c r="O384" i="5"/>
  <c r="P384" i="5"/>
  <c r="L385" i="5"/>
  <c r="O385" i="5" s="1"/>
  <c r="M385" i="5"/>
  <c r="M383" i="5" s="1"/>
  <c r="P383" i="5" s="1"/>
  <c r="N385" i="5"/>
  <c r="N383" i="5" s="1"/>
  <c r="K387" i="5"/>
  <c r="K388" i="5"/>
  <c r="A391" i="5"/>
  <c r="L22" i="4"/>
  <c r="L19" i="4" s="1"/>
  <c r="M22" i="4"/>
  <c r="N22" i="4"/>
  <c r="L25" i="4"/>
  <c r="M25" i="4"/>
  <c r="P25" i="4" s="1"/>
  <c r="N25" i="4"/>
  <c r="O25" i="4"/>
  <c r="L45" i="4"/>
  <c r="M45" i="4"/>
  <c r="P45" i="4" s="1"/>
  <c r="N45" i="4"/>
  <c r="O45" i="4"/>
  <c r="O48" i="4"/>
  <c r="P48" i="4"/>
  <c r="L49" i="4"/>
  <c r="L47" i="4" s="1"/>
  <c r="M49" i="4"/>
  <c r="M47" i="4" s="1"/>
  <c r="N49" i="4"/>
  <c r="N47" i="4" s="1"/>
  <c r="O51" i="4"/>
  <c r="P51" i="4"/>
  <c r="L52" i="4"/>
  <c r="O52" i="4" s="1"/>
  <c r="M52" i="4"/>
  <c r="P52" i="4" s="1"/>
  <c r="N52" i="4"/>
  <c r="N50" i="4" s="1"/>
  <c r="L60" i="4"/>
  <c r="M60" i="4"/>
  <c r="P60" i="4" s="1"/>
  <c r="N60" i="4"/>
  <c r="O63" i="4"/>
  <c r="P63" i="4"/>
  <c r="L64" i="4"/>
  <c r="L62" i="4" s="1"/>
  <c r="M64" i="4"/>
  <c r="N64" i="4"/>
  <c r="O66" i="4"/>
  <c r="P66" i="4"/>
  <c r="L67" i="4"/>
  <c r="O67" i="4" s="1"/>
  <c r="M67" i="4"/>
  <c r="N67" i="4"/>
  <c r="N65" i="4" s="1"/>
  <c r="L73" i="4"/>
  <c r="M73" i="4"/>
  <c r="P73" i="4" s="1"/>
  <c r="N73" i="4"/>
  <c r="O76" i="4"/>
  <c r="P76" i="4"/>
  <c r="L77" i="4"/>
  <c r="L75" i="4" s="1"/>
  <c r="O75" i="4" s="1"/>
  <c r="M77" i="4"/>
  <c r="M75" i="4" s="1"/>
  <c r="P75" i="4" s="1"/>
  <c r="N77" i="4"/>
  <c r="O79" i="4"/>
  <c r="P79" i="4"/>
  <c r="L80" i="4"/>
  <c r="L78" i="4" s="1"/>
  <c r="O78" i="4" s="1"/>
  <c r="M80" i="4"/>
  <c r="M78" i="4" s="1"/>
  <c r="P78" i="4" s="1"/>
  <c r="N80" i="4"/>
  <c r="N78" i="4" s="1"/>
  <c r="J82" i="4"/>
  <c r="J70" i="4" s="1"/>
  <c r="J83" i="4"/>
  <c r="J71" i="4" s="1"/>
  <c r="I84" i="4"/>
  <c r="I85" i="4"/>
  <c r="I86" i="4"/>
  <c r="K86" i="4" s="1"/>
  <c r="I87" i="4"/>
  <c r="K87" i="4" s="1"/>
  <c r="I88" i="4"/>
  <c r="K88" i="4" s="1"/>
  <c r="I89" i="4"/>
  <c r="K89" i="4" s="1"/>
  <c r="I90" i="4"/>
  <c r="K90" i="4" s="1"/>
  <c r="J92" i="4"/>
  <c r="J93" i="4"/>
  <c r="L95" i="4"/>
  <c r="M95" i="4"/>
  <c r="P95" i="4" s="1"/>
  <c r="N95" i="4"/>
  <c r="O95" i="4"/>
  <c r="O98" i="4"/>
  <c r="P98" i="4"/>
  <c r="L99" i="4"/>
  <c r="O99" i="4" s="1"/>
  <c r="M99" i="4"/>
  <c r="N99" i="4"/>
  <c r="N97" i="4" s="1"/>
  <c r="O101" i="4"/>
  <c r="P101" i="4"/>
  <c r="L102" i="4"/>
  <c r="L100" i="4" s="1"/>
  <c r="O100" i="4" s="1"/>
  <c r="M102" i="4"/>
  <c r="M100" i="4" s="1"/>
  <c r="P100" i="4" s="1"/>
  <c r="N102" i="4"/>
  <c r="N100" i="4" s="1"/>
  <c r="I108" i="4"/>
  <c r="K108" i="4" s="1"/>
  <c r="I109" i="4"/>
  <c r="I93" i="4" s="1"/>
  <c r="K93" i="4" s="1"/>
  <c r="I117" i="4"/>
  <c r="K117" i="4" s="1"/>
  <c r="L126" i="4"/>
  <c r="O126" i="4" s="1"/>
  <c r="M126" i="4"/>
  <c r="P126" i="4" s="1"/>
  <c r="N126" i="4"/>
  <c r="O129" i="4"/>
  <c r="P129" i="4"/>
  <c r="L130" i="4"/>
  <c r="O130" i="4" s="1"/>
  <c r="M130" i="4"/>
  <c r="P130" i="4" s="1"/>
  <c r="N130" i="4"/>
  <c r="N128" i="4" s="1"/>
  <c r="O132" i="4"/>
  <c r="P132" i="4"/>
  <c r="L133" i="4"/>
  <c r="O133" i="4" s="1"/>
  <c r="M133" i="4"/>
  <c r="P133" i="4" s="1"/>
  <c r="N133" i="4"/>
  <c r="N131" i="4" s="1"/>
  <c r="J136" i="4"/>
  <c r="J137" i="4"/>
  <c r="J138" i="4"/>
  <c r="L140" i="4"/>
  <c r="O140" i="4" s="1"/>
  <c r="M140" i="4"/>
  <c r="P140" i="4" s="1"/>
  <c r="N140" i="4"/>
  <c r="O143" i="4"/>
  <c r="P143" i="4"/>
  <c r="L144" i="4"/>
  <c r="M144" i="4"/>
  <c r="M142" i="4" s="1"/>
  <c r="N144" i="4"/>
  <c r="N142" i="4" s="1"/>
  <c r="O146" i="4"/>
  <c r="P146" i="4"/>
  <c r="L147" i="4"/>
  <c r="O147" i="4" s="1"/>
  <c r="M147" i="4"/>
  <c r="P147" i="4" s="1"/>
  <c r="N147" i="4"/>
  <c r="N145" i="4" s="1"/>
  <c r="I150" i="4"/>
  <c r="K150" i="4" s="1"/>
  <c r="I151" i="4"/>
  <c r="K151" i="4" s="1"/>
  <c r="I152" i="4"/>
  <c r="K152" i="4" s="1"/>
  <c r="I153" i="4"/>
  <c r="I138" i="4" s="1"/>
  <c r="K138" i="4" s="1"/>
  <c r="I154" i="4"/>
  <c r="K154" i="4" s="1"/>
  <c r="J156" i="4"/>
  <c r="L158" i="4"/>
  <c r="M158" i="4"/>
  <c r="N158" i="4"/>
  <c r="O158" i="4"/>
  <c r="O161" i="4"/>
  <c r="P161" i="4"/>
  <c r="L162" i="4"/>
  <c r="L160" i="4" s="1"/>
  <c r="M162" i="4"/>
  <c r="M160" i="4" s="1"/>
  <c r="P160" i="4" s="1"/>
  <c r="N162" i="4"/>
  <c r="O164" i="4"/>
  <c r="P164" i="4"/>
  <c r="L165" i="4"/>
  <c r="L163" i="4" s="1"/>
  <c r="O163" i="4" s="1"/>
  <c r="M165" i="4"/>
  <c r="M163" i="4" s="1"/>
  <c r="P163" i="4" s="1"/>
  <c r="N165" i="4"/>
  <c r="I167" i="4"/>
  <c r="I156" i="4" s="1"/>
  <c r="K156" i="4" s="1"/>
  <c r="J172" i="4"/>
  <c r="L174" i="4"/>
  <c r="O174" i="4" s="1"/>
  <c r="M174" i="4"/>
  <c r="N174" i="4"/>
  <c r="O177" i="4"/>
  <c r="P177" i="4"/>
  <c r="L178" i="4"/>
  <c r="L176" i="4" s="1"/>
  <c r="M178" i="4"/>
  <c r="M176" i="4" s="1"/>
  <c r="N178" i="4"/>
  <c r="O180" i="4"/>
  <c r="P180" i="4"/>
  <c r="L181" i="4"/>
  <c r="L179" i="4" s="1"/>
  <c r="O179" i="4" s="1"/>
  <c r="M181" i="4"/>
  <c r="M179" i="4" s="1"/>
  <c r="P179" i="4" s="1"/>
  <c r="N181" i="4"/>
  <c r="I183" i="4"/>
  <c r="I172" i="4" s="1"/>
  <c r="K172" i="4" s="1"/>
  <c r="K184" i="4"/>
  <c r="L187" i="4"/>
  <c r="M187" i="4"/>
  <c r="P187" i="4" s="1"/>
  <c r="N187" i="4"/>
  <c r="O187" i="4"/>
  <c r="O190" i="4"/>
  <c r="P190" i="4"/>
  <c r="L191" i="4"/>
  <c r="M191" i="4"/>
  <c r="M189" i="4" s="1"/>
  <c r="N191" i="4"/>
  <c r="N189" i="4" s="1"/>
  <c r="O193" i="4"/>
  <c r="P193" i="4"/>
  <c r="L194" i="4"/>
  <c r="O194" i="4" s="1"/>
  <c r="M194" i="4"/>
  <c r="M192" i="4" s="1"/>
  <c r="P192" i="4" s="1"/>
  <c r="N194" i="4"/>
  <c r="N192" i="4" s="1"/>
  <c r="J195" i="4"/>
  <c r="L196" i="4"/>
  <c r="O196" i="4" s="1"/>
  <c r="P196" i="4"/>
  <c r="I198" i="4"/>
  <c r="K198" i="4" s="1"/>
  <c r="J199" i="4"/>
  <c r="J202" i="4"/>
  <c r="N203" i="4"/>
  <c r="P203" i="4"/>
  <c r="L204" i="4"/>
  <c r="L205" i="4"/>
  <c r="L206" i="4"/>
  <c r="L207" i="4"/>
  <c r="I209" i="4"/>
  <c r="I202" i="4" s="1"/>
  <c r="K202" i="4" s="1"/>
  <c r="I211" i="4"/>
  <c r="K211" i="4" s="1"/>
  <c r="I212" i="4"/>
  <c r="K212" i="4" s="1"/>
  <c r="J213" i="4"/>
  <c r="N214" i="4"/>
  <c r="P214" i="4"/>
  <c r="L215" i="4"/>
  <c r="L216" i="4"/>
  <c r="L217" i="4"/>
  <c r="I219" i="4"/>
  <c r="K219" i="4" s="1"/>
  <c r="I220" i="4"/>
  <c r="K220" i="4" s="1"/>
  <c r="J221" i="4"/>
  <c r="N222" i="4"/>
  <c r="P222" i="4"/>
  <c r="L223" i="4"/>
  <c r="L224" i="4"/>
  <c r="L225" i="4"/>
  <c r="I228" i="4"/>
  <c r="K228" i="4" s="1"/>
  <c r="I229" i="4"/>
  <c r="I221" i="4" s="1"/>
  <c r="K221" i="4" s="1"/>
  <c r="I230" i="4"/>
  <c r="K230" i="4" s="1"/>
  <c r="J231" i="4"/>
  <c r="J185" i="4" s="1"/>
  <c r="N233" i="4"/>
  <c r="N234" i="4"/>
  <c r="N235" i="4"/>
  <c r="N236" i="4"/>
  <c r="J238" i="4"/>
  <c r="I240" i="4"/>
  <c r="J240" i="4"/>
  <c r="K240" i="4"/>
  <c r="I241" i="4"/>
  <c r="J241" i="4"/>
  <c r="K241" i="4"/>
  <c r="J242" i="4"/>
  <c r="N243" i="4"/>
  <c r="N232" i="4" s="1"/>
  <c r="P243" i="4"/>
  <c r="L244" i="4"/>
  <c r="L245" i="4"/>
  <c r="L246" i="4"/>
  <c r="L247" i="4"/>
  <c r="I249" i="4"/>
  <c r="I242" i="4" s="1"/>
  <c r="K251" i="4"/>
  <c r="K252" i="4"/>
  <c r="J253" i="4"/>
  <c r="N254" i="4"/>
  <c r="P254" i="4"/>
  <c r="L255" i="4"/>
  <c r="L256" i="4"/>
  <c r="L257" i="4"/>
  <c r="L258" i="4"/>
  <c r="I260" i="4"/>
  <c r="I253" i="4" s="1"/>
  <c r="K253" i="4" s="1"/>
  <c r="K262" i="4"/>
  <c r="K263" i="4"/>
  <c r="I265" i="4"/>
  <c r="K265" i="4" s="1"/>
  <c r="J265" i="4"/>
  <c r="L267" i="4"/>
  <c r="M267" i="4"/>
  <c r="P267" i="4" s="1"/>
  <c r="N267" i="4"/>
  <c r="O270" i="4"/>
  <c r="P270" i="4"/>
  <c r="L271" i="4"/>
  <c r="O271" i="4" s="1"/>
  <c r="M271" i="4"/>
  <c r="M269" i="4" s="1"/>
  <c r="P269" i="4" s="1"/>
  <c r="N271" i="4"/>
  <c r="N269" i="4" s="1"/>
  <c r="O273" i="4"/>
  <c r="P273" i="4"/>
  <c r="L274" i="4"/>
  <c r="O274" i="4" s="1"/>
  <c r="M274" i="4"/>
  <c r="M272" i="4" s="1"/>
  <c r="P272" i="4" s="1"/>
  <c r="N274" i="4"/>
  <c r="J281" i="4"/>
  <c r="L283" i="4"/>
  <c r="M283" i="4"/>
  <c r="P283" i="4" s="1"/>
  <c r="N283" i="4"/>
  <c r="O283" i="4"/>
  <c r="O286" i="4"/>
  <c r="P286" i="4"/>
  <c r="L287" i="4"/>
  <c r="L285" i="4" s="1"/>
  <c r="M287" i="4"/>
  <c r="M285" i="4" s="1"/>
  <c r="N287" i="4"/>
  <c r="O289" i="4"/>
  <c r="P289" i="4"/>
  <c r="L290" i="4"/>
  <c r="L288" i="4" s="1"/>
  <c r="O288" i="4" s="1"/>
  <c r="M290" i="4"/>
  <c r="M288" i="4" s="1"/>
  <c r="P288" i="4" s="1"/>
  <c r="N290" i="4"/>
  <c r="N288" i="4" s="1"/>
  <c r="I292" i="4"/>
  <c r="K292" i="4" s="1"/>
  <c r="I293" i="4"/>
  <c r="K293" i="4" s="1"/>
  <c r="J293" i="4"/>
  <c r="J280" i="4" s="1"/>
  <c r="I295" i="4"/>
  <c r="K295" i="4" s="1"/>
  <c r="I296" i="4"/>
  <c r="K296" i="4" s="1"/>
  <c r="J302" i="4"/>
  <c r="L304" i="4"/>
  <c r="O304" i="4" s="1"/>
  <c r="M304" i="4"/>
  <c r="N304" i="4"/>
  <c r="P304" i="4"/>
  <c r="O307" i="4"/>
  <c r="P307" i="4"/>
  <c r="L308" i="4"/>
  <c r="L306" i="4" s="1"/>
  <c r="M308" i="4"/>
  <c r="M306" i="4" s="1"/>
  <c r="N308" i="4"/>
  <c r="O310" i="4"/>
  <c r="P310" i="4"/>
  <c r="L311" i="4"/>
  <c r="O311" i="4" s="1"/>
  <c r="M311" i="4"/>
  <c r="M309" i="4" s="1"/>
  <c r="P309" i="4" s="1"/>
  <c r="N311" i="4"/>
  <c r="N309" i="4" s="1"/>
  <c r="I314" i="4"/>
  <c r="K314" i="4" s="1"/>
  <c r="I315" i="4"/>
  <c r="K315" i="4" s="1"/>
  <c r="I316" i="4"/>
  <c r="K316" i="4" s="1"/>
  <c r="I317" i="4"/>
  <c r="K317" i="4" s="1"/>
  <c r="J319" i="4"/>
  <c r="L321" i="4"/>
  <c r="M321" i="4"/>
  <c r="N321" i="4"/>
  <c r="O321" i="4"/>
  <c r="O324" i="4"/>
  <c r="P324" i="4"/>
  <c r="L325" i="4"/>
  <c r="L323" i="4" s="1"/>
  <c r="O323" i="4" s="1"/>
  <c r="M325" i="4"/>
  <c r="N325" i="4"/>
  <c r="N323" i="4" s="1"/>
  <c r="O327" i="4"/>
  <c r="P327" i="4"/>
  <c r="L328" i="4"/>
  <c r="L326" i="4" s="1"/>
  <c r="O326" i="4" s="1"/>
  <c r="M328" i="4"/>
  <c r="M326" i="4" s="1"/>
  <c r="P326" i="4" s="1"/>
  <c r="N328" i="4"/>
  <c r="N326" i="4" s="1"/>
  <c r="I330" i="4"/>
  <c r="I319" i="4" s="1"/>
  <c r="K319" i="4" s="1"/>
  <c r="L334" i="4"/>
  <c r="M334" i="4"/>
  <c r="N334" i="4"/>
  <c r="P334" i="4"/>
  <c r="O337" i="4"/>
  <c r="P337" i="4"/>
  <c r="L338" i="4"/>
  <c r="L336" i="4" s="1"/>
  <c r="M338" i="4"/>
  <c r="M336" i="4" s="1"/>
  <c r="N338" i="4"/>
  <c r="O340" i="4"/>
  <c r="P340" i="4"/>
  <c r="L341" i="4"/>
  <c r="M341" i="4"/>
  <c r="M339" i="4" s="1"/>
  <c r="P339" i="4" s="1"/>
  <c r="N341" i="4"/>
  <c r="N339" i="4" s="1"/>
  <c r="I344" i="4"/>
  <c r="I332" i="4" s="1"/>
  <c r="J344" i="4"/>
  <c r="I346" i="4"/>
  <c r="J346" i="4"/>
  <c r="J347" i="4"/>
  <c r="J348" i="4"/>
  <c r="J349" i="4"/>
  <c r="D350" i="4"/>
  <c r="J352" i="4"/>
  <c r="J353" i="4"/>
  <c r="D354" i="4"/>
  <c r="L357" i="4"/>
  <c r="O357" i="4" s="1"/>
  <c r="M357" i="4"/>
  <c r="N357" i="4"/>
  <c r="O360" i="4"/>
  <c r="P360" i="4"/>
  <c r="L361" i="4"/>
  <c r="L359" i="4" s="1"/>
  <c r="M361" i="4"/>
  <c r="M359" i="4" s="1"/>
  <c r="N361" i="4"/>
  <c r="O363" i="4"/>
  <c r="P363" i="4"/>
  <c r="L364" i="4"/>
  <c r="L362" i="4" s="1"/>
  <c r="O362" i="4" s="1"/>
  <c r="M364" i="4"/>
  <c r="M362" i="4" s="1"/>
  <c r="P362" i="4" s="1"/>
  <c r="N364" i="4"/>
  <c r="N362" i="4" s="1"/>
  <c r="J367" i="4"/>
  <c r="K367" i="4"/>
  <c r="I368" i="4"/>
  <c r="J368" i="4"/>
  <c r="I369" i="4"/>
  <c r="J369" i="4"/>
  <c r="J370" i="4"/>
  <c r="K370" i="4"/>
  <c r="I371" i="4"/>
  <c r="J371" i="4"/>
  <c r="J365" i="4" s="1"/>
  <c r="J372" i="4"/>
  <c r="K372" i="4"/>
  <c r="D373" i="4"/>
  <c r="I376" i="4"/>
  <c r="K376" i="4" s="1"/>
  <c r="J376" i="4"/>
  <c r="L378" i="4"/>
  <c r="M378" i="4"/>
  <c r="P378" i="4" s="1"/>
  <c r="N378" i="4"/>
  <c r="O381" i="4"/>
  <c r="P381" i="4"/>
  <c r="L382" i="4"/>
  <c r="L380" i="4" s="1"/>
  <c r="O380" i="4" s="1"/>
  <c r="M382" i="4"/>
  <c r="P382" i="4" s="1"/>
  <c r="N382" i="4"/>
  <c r="N380" i="4" s="1"/>
  <c r="O384" i="4"/>
  <c r="P384" i="4"/>
  <c r="L385" i="4"/>
  <c r="L383" i="4" s="1"/>
  <c r="O383" i="4" s="1"/>
  <c r="M385" i="4"/>
  <c r="P385" i="4" s="1"/>
  <c r="N385" i="4"/>
  <c r="N383" i="4" s="1"/>
  <c r="K387" i="4"/>
  <c r="K388" i="4"/>
  <c r="A391" i="4"/>
  <c r="L22" i="3"/>
  <c r="M22" i="3"/>
  <c r="N22" i="3"/>
  <c r="P22" i="3"/>
  <c r="L25" i="3"/>
  <c r="O25" i="3" s="1"/>
  <c r="M25" i="3"/>
  <c r="N25" i="3"/>
  <c r="L45" i="3"/>
  <c r="M45" i="3"/>
  <c r="P45" i="3" s="1"/>
  <c r="N45" i="3"/>
  <c r="O45" i="3"/>
  <c r="O48" i="3"/>
  <c r="P48" i="3"/>
  <c r="L49" i="3"/>
  <c r="M49" i="3"/>
  <c r="M47" i="3" s="1"/>
  <c r="N49" i="3"/>
  <c r="N47" i="3" s="1"/>
  <c r="O51" i="3"/>
  <c r="P51" i="3"/>
  <c r="L52" i="3"/>
  <c r="O52" i="3" s="1"/>
  <c r="M52" i="3"/>
  <c r="P52" i="3" s="1"/>
  <c r="N52" i="3"/>
  <c r="N50" i="3" s="1"/>
  <c r="L60" i="3"/>
  <c r="M60" i="3"/>
  <c r="P60" i="3" s="1"/>
  <c r="N60" i="3"/>
  <c r="O63" i="3"/>
  <c r="P63" i="3"/>
  <c r="L64" i="3"/>
  <c r="L62" i="3" s="1"/>
  <c r="M64" i="3"/>
  <c r="N64" i="3"/>
  <c r="N62" i="3" s="1"/>
  <c r="O66" i="3"/>
  <c r="P66" i="3"/>
  <c r="L67" i="3"/>
  <c r="L65" i="3" s="1"/>
  <c r="O65" i="3" s="1"/>
  <c r="M67" i="3"/>
  <c r="N67" i="3"/>
  <c r="N65" i="3" s="1"/>
  <c r="J71" i="3"/>
  <c r="L73" i="3"/>
  <c r="M73" i="3"/>
  <c r="P73" i="3" s="1"/>
  <c r="N73" i="3"/>
  <c r="O73" i="3"/>
  <c r="O76" i="3"/>
  <c r="P76" i="3"/>
  <c r="L77" i="3"/>
  <c r="L75" i="3" s="1"/>
  <c r="O75" i="3" s="1"/>
  <c r="M77" i="3"/>
  <c r="N77" i="3"/>
  <c r="O79" i="3"/>
  <c r="P79" i="3"/>
  <c r="L80" i="3"/>
  <c r="L78" i="3" s="1"/>
  <c r="O78" i="3" s="1"/>
  <c r="M80" i="3"/>
  <c r="M78" i="3" s="1"/>
  <c r="P78" i="3" s="1"/>
  <c r="N80" i="3"/>
  <c r="N78" i="3" s="1"/>
  <c r="J82" i="3"/>
  <c r="J70" i="3" s="1"/>
  <c r="J83" i="3"/>
  <c r="I84" i="3"/>
  <c r="I85" i="3"/>
  <c r="K85" i="3" s="1"/>
  <c r="I86" i="3"/>
  <c r="K86" i="3" s="1"/>
  <c r="I87" i="3"/>
  <c r="K87" i="3" s="1"/>
  <c r="I88" i="3"/>
  <c r="K88" i="3" s="1"/>
  <c r="I89" i="3"/>
  <c r="K89" i="3" s="1"/>
  <c r="I90" i="3"/>
  <c r="K90" i="3" s="1"/>
  <c r="J92" i="3"/>
  <c r="J93" i="3"/>
  <c r="L95" i="3"/>
  <c r="O95" i="3" s="1"/>
  <c r="M95" i="3"/>
  <c r="N95" i="3"/>
  <c r="P95" i="3"/>
  <c r="O98" i="3"/>
  <c r="P98" i="3"/>
  <c r="L99" i="3"/>
  <c r="O99" i="3" s="1"/>
  <c r="M99" i="3"/>
  <c r="N99" i="3"/>
  <c r="N97" i="3" s="1"/>
  <c r="O101" i="3"/>
  <c r="P101" i="3"/>
  <c r="L102" i="3"/>
  <c r="O102" i="3" s="1"/>
  <c r="M102" i="3"/>
  <c r="P102" i="3" s="1"/>
  <c r="N102" i="3"/>
  <c r="N100" i="3" s="1"/>
  <c r="I108" i="3"/>
  <c r="K108" i="3" s="1"/>
  <c r="I109" i="3"/>
  <c r="I93" i="3" s="1"/>
  <c r="K93" i="3" s="1"/>
  <c r="I117" i="3"/>
  <c r="K117" i="3" s="1"/>
  <c r="L126" i="3"/>
  <c r="O126" i="3" s="1"/>
  <c r="M126" i="3"/>
  <c r="P126" i="3" s="1"/>
  <c r="N126" i="3"/>
  <c r="O129" i="3"/>
  <c r="P129" i="3"/>
  <c r="L130" i="3"/>
  <c r="O130" i="3" s="1"/>
  <c r="M130" i="3"/>
  <c r="M128" i="3" s="1"/>
  <c r="P128" i="3" s="1"/>
  <c r="N130" i="3"/>
  <c r="N128" i="3" s="1"/>
  <c r="O132" i="3"/>
  <c r="P132" i="3"/>
  <c r="L133" i="3"/>
  <c r="O133" i="3" s="1"/>
  <c r="M133" i="3"/>
  <c r="M131" i="3" s="1"/>
  <c r="P131" i="3" s="1"/>
  <c r="N133" i="3"/>
  <c r="N131" i="3" s="1"/>
  <c r="J136" i="3"/>
  <c r="J137" i="3"/>
  <c r="J138" i="3"/>
  <c r="L140" i="3"/>
  <c r="M140" i="3"/>
  <c r="N140" i="3"/>
  <c r="O140" i="3"/>
  <c r="O143" i="3"/>
  <c r="P143" i="3"/>
  <c r="L144" i="3"/>
  <c r="L142" i="3" s="1"/>
  <c r="M144" i="3"/>
  <c r="N144" i="3"/>
  <c r="O146" i="3"/>
  <c r="P146" i="3"/>
  <c r="L147" i="3"/>
  <c r="O147" i="3" s="1"/>
  <c r="M147" i="3"/>
  <c r="M145" i="3" s="1"/>
  <c r="P145" i="3" s="1"/>
  <c r="N147" i="3"/>
  <c r="N145" i="3" s="1"/>
  <c r="I150" i="3"/>
  <c r="K150" i="3" s="1"/>
  <c r="I151" i="3"/>
  <c r="K151" i="3" s="1"/>
  <c r="I152" i="3"/>
  <c r="K152" i="3" s="1"/>
  <c r="I153" i="3"/>
  <c r="K153" i="3" s="1"/>
  <c r="I154" i="3"/>
  <c r="I136" i="3" s="1"/>
  <c r="J156" i="3"/>
  <c r="L158" i="3"/>
  <c r="O158" i="3" s="1"/>
  <c r="M158" i="3"/>
  <c r="N158" i="3"/>
  <c r="O161" i="3"/>
  <c r="P161" i="3"/>
  <c r="L162" i="3"/>
  <c r="L160" i="3" s="1"/>
  <c r="O160" i="3" s="1"/>
  <c r="M162" i="3"/>
  <c r="M160" i="3" s="1"/>
  <c r="P160" i="3" s="1"/>
  <c r="N162" i="3"/>
  <c r="N160" i="3" s="1"/>
  <c r="O164" i="3"/>
  <c r="P164" i="3"/>
  <c r="L165" i="3"/>
  <c r="M165" i="3"/>
  <c r="M163" i="3" s="1"/>
  <c r="P163" i="3" s="1"/>
  <c r="N165" i="3"/>
  <c r="N163" i="3" s="1"/>
  <c r="I167" i="3"/>
  <c r="K167" i="3" s="1"/>
  <c r="I168" i="3"/>
  <c r="K168" i="3" s="1"/>
  <c r="I169" i="3"/>
  <c r="K169" i="3" s="1"/>
  <c r="J172" i="3"/>
  <c r="L174" i="3"/>
  <c r="M174" i="3"/>
  <c r="P174" i="3" s="1"/>
  <c r="N174" i="3"/>
  <c r="O177" i="3"/>
  <c r="P177" i="3"/>
  <c r="L178" i="3"/>
  <c r="M178" i="3"/>
  <c r="M176" i="3" s="1"/>
  <c r="N178" i="3"/>
  <c r="O180" i="3"/>
  <c r="P180" i="3"/>
  <c r="L181" i="3"/>
  <c r="O181" i="3" s="1"/>
  <c r="M181" i="3"/>
  <c r="M179" i="3" s="1"/>
  <c r="P179" i="3" s="1"/>
  <c r="N181" i="3"/>
  <c r="N179" i="3" s="1"/>
  <c r="I183" i="3"/>
  <c r="I172" i="3" s="1"/>
  <c r="K172" i="3" s="1"/>
  <c r="K184" i="3"/>
  <c r="L187" i="3"/>
  <c r="M187" i="3"/>
  <c r="P187" i="3" s="1"/>
  <c r="N187" i="3"/>
  <c r="O190" i="3"/>
  <c r="P190" i="3"/>
  <c r="L191" i="3"/>
  <c r="M191" i="3"/>
  <c r="M189" i="3" s="1"/>
  <c r="N191" i="3"/>
  <c r="N189" i="3" s="1"/>
  <c r="O193" i="3"/>
  <c r="P193" i="3"/>
  <c r="L194" i="3"/>
  <c r="L192" i="3" s="1"/>
  <c r="O192" i="3" s="1"/>
  <c r="M194" i="3"/>
  <c r="M192" i="3" s="1"/>
  <c r="P192" i="3" s="1"/>
  <c r="N194" i="3"/>
  <c r="J195" i="3"/>
  <c r="L196" i="3"/>
  <c r="O196" i="3" s="1"/>
  <c r="P196" i="3"/>
  <c r="I198" i="3"/>
  <c r="K198" i="3" s="1"/>
  <c r="J199" i="3"/>
  <c r="J202" i="3"/>
  <c r="N203" i="3"/>
  <c r="P203" i="3"/>
  <c r="L204" i="3"/>
  <c r="L205" i="3"/>
  <c r="L206" i="3"/>
  <c r="L207" i="3"/>
  <c r="I209" i="3"/>
  <c r="I202" i="3" s="1"/>
  <c r="K202" i="3" s="1"/>
  <c r="I211" i="3"/>
  <c r="K211" i="3" s="1"/>
  <c r="I212" i="3"/>
  <c r="K212" i="3" s="1"/>
  <c r="J213" i="3"/>
  <c r="N214" i="3"/>
  <c r="P214" i="3"/>
  <c r="L215" i="3"/>
  <c r="L216" i="3"/>
  <c r="L217" i="3"/>
  <c r="I219" i="3"/>
  <c r="K219" i="3" s="1"/>
  <c r="I220" i="3"/>
  <c r="I213" i="3" s="1"/>
  <c r="K213" i="3" s="1"/>
  <c r="J221" i="3"/>
  <c r="N222" i="3"/>
  <c r="P222" i="3"/>
  <c r="L223" i="3"/>
  <c r="L224" i="3"/>
  <c r="L225" i="3"/>
  <c r="I228" i="3"/>
  <c r="K228" i="3" s="1"/>
  <c r="I229" i="3"/>
  <c r="I221" i="3" s="1"/>
  <c r="K221" i="3" s="1"/>
  <c r="I230" i="3"/>
  <c r="K230" i="3" s="1"/>
  <c r="N233" i="3"/>
  <c r="N234" i="3"/>
  <c r="N235" i="3"/>
  <c r="N236" i="3"/>
  <c r="J238" i="3"/>
  <c r="I240" i="3"/>
  <c r="K240" i="3" s="1"/>
  <c r="J240" i="3"/>
  <c r="I241" i="3"/>
  <c r="J241" i="3"/>
  <c r="K241" i="3"/>
  <c r="J242" i="3"/>
  <c r="J231" i="3" s="1"/>
  <c r="J185" i="3" s="1"/>
  <c r="N243" i="3"/>
  <c r="N232" i="3" s="1"/>
  <c r="P243" i="3"/>
  <c r="L244" i="3"/>
  <c r="L245" i="3"/>
  <c r="L246" i="3"/>
  <c r="L247" i="3"/>
  <c r="I249" i="3"/>
  <c r="K251" i="3"/>
  <c r="K252" i="3"/>
  <c r="J253" i="3"/>
  <c r="N254" i="3"/>
  <c r="P254" i="3"/>
  <c r="L255" i="3"/>
  <c r="L256" i="3"/>
  <c r="L257" i="3"/>
  <c r="L258" i="3"/>
  <c r="I260" i="3"/>
  <c r="I253" i="3" s="1"/>
  <c r="K253" i="3" s="1"/>
  <c r="K262" i="3"/>
  <c r="K263" i="3"/>
  <c r="I265" i="3"/>
  <c r="K265" i="3" s="1"/>
  <c r="J265" i="3"/>
  <c r="L267" i="3"/>
  <c r="M267" i="3"/>
  <c r="P267" i="3" s="1"/>
  <c r="N267" i="3"/>
  <c r="O270" i="3"/>
  <c r="P270" i="3"/>
  <c r="L271" i="3"/>
  <c r="O271" i="3" s="1"/>
  <c r="M271" i="3"/>
  <c r="N271" i="3"/>
  <c r="N269" i="3" s="1"/>
  <c r="O273" i="3"/>
  <c r="P273" i="3"/>
  <c r="L274" i="3"/>
  <c r="O274" i="3" s="1"/>
  <c r="M274" i="3"/>
  <c r="M272" i="3" s="1"/>
  <c r="P272" i="3" s="1"/>
  <c r="N274" i="3"/>
  <c r="J281" i="3"/>
  <c r="L283" i="3"/>
  <c r="M283" i="3"/>
  <c r="P283" i="3" s="1"/>
  <c r="N283" i="3"/>
  <c r="O286" i="3"/>
  <c r="P286" i="3"/>
  <c r="L287" i="3"/>
  <c r="M287" i="3"/>
  <c r="M285" i="3" s="1"/>
  <c r="N287" i="3"/>
  <c r="O289" i="3"/>
  <c r="P289" i="3"/>
  <c r="L290" i="3"/>
  <c r="O290" i="3" s="1"/>
  <c r="M290" i="3"/>
  <c r="M288" i="3" s="1"/>
  <c r="P288" i="3" s="1"/>
  <c r="N290" i="3"/>
  <c r="N288" i="3" s="1"/>
  <c r="I292" i="3"/>
  <c r="I281" i="3" s="1"/>
  <c r="K281" i="3" s="1"/>
  <c r="I293" i="3"/>
  <c r="I280" i="3" s="1"/>
  <c r="K280" i="3" s="1"/>
  <c r="J293" i="3"/>
  <c r="J280" i="3" s="1"/>
  <c r="I295" i="3"/>
  <c r="K295" i="3" s="1"/>
  <c r="I296" i="3"/>
  <c r="K296" i="3" s="1"/>
  <c r="J302" i="3"/>
  <c r="L304" i="3"/>
  <c r="M304" i="3"/>
  <c r="P304" i="3" s="1"/>
  <c r="N304" i="3"/>
  <c r="O304" i="3"/>
  <c r="O307" i="3"/>
  <c r="P307" i="3"/>
  <c r="L308" i="3"/>
  <c r="M308" i="3"/>
  <c r="N308" i="3"/>
  <c r="N306" i="3" s="1"/>
  <c r="O310" i="3"/>
  <c r="P310" i="3"/>
  <c r="L311" i="3"/>
  <c r="L309" i="3" s="1"/>
  <c r="O309" i="3" s="1"/>
  <c r="M311" i="3"/>
  <c r="M309" i="3" s="1"/>
  <c r="P309" i="3" s="1"/>
  <c r="N311" i="3"/>
  <c r="I314" i="3"/>
  <c r="K314" i="3" s="1"/>
  <c r="I315" i="3"/>
  <c r="K315" i="3" s="1"/>
  <c r="I316" i="3"/>
  <c r="K316" i="3" s="1"/>
  <c r="I317" i="3"/>
  <c r="K317" i="3" s="1"/>
  <c r="J319" i="3"/>
  <c r="L321" i="3"/>
  <c r="O321" i="3" s="1"/>
  <c r="M321" i="3"/>
  <c r="N321" i="3"/>
  <c r="O324" i="3"/>
  <c r="P324" i="3"/>
  <c r="L325" i="3"/>
  <c r="O325" i="3" s="1"/>
  <c r="M325" i="3"/>
  <c r="M323" i="3" s="1"/>
  <c r="P323" i="3" s="1"/>
  <c r="N325" i="3"/>
  <c r="N323" i="3" s="1"/>
  <c r="O327" i="3"/>
  <c r="P327" i="3"/>
  <c r="L328" i="3"/>
  <c r="O328" i="3" s="1"/>
  <c r="M328" i="3"/>
  <c r="M326" i="3" s="1"/>
  <c r="P326" i="3" s="1"/>
  <c r="N328" i="3"/>
  <c r="N326" i="3" s="1"/>
  <c r="I330" i="3"/>
  <c r="L334" i="3"/>
  <c r="O334" i="3" s="1"/>
  <c r="M334" i="3"/>
  <c r="P334" i="3" s="1"/>
  <c r="N334" i="3"/>
  <c r="O337" i="3"/>
  <c r="P337" i="3"/>
  <c r="L338" i="3"/>
  <c r="L336" i="3" s="1"/>
  <c r="M338" i="3"/>
  <c r="N338" i="3"/>
  <c r="O340" i="3"/>
  <c r="P340" i="3"/>
  <c r="L341" i="3"/>
  <c r="L339" i="3" s="1"/>
  <c r="O339" i="3" s="1"/>
  <c r="M341" i="3"/>
  <c r="M339" i="3" s="1"/>
  <c r="P339" i="3" s="1"/>
  <c r="N341" i="3"/>
  <c r="N339" i="3" s="1"/>
  <c r="I344" i="3"/>
  <c r="I332" i="3" s="1"/>
  <c r="J344" i="3"/>
  <c r="I346" i="3"/>
  <c r="J346" i="3"/>
  <c r="J347" i="3"/>
  <c r="J348" i="3"/>
  <c r="J349" i="3"/>
  <c r="D350" i="3"/>
  <c r="J352" i="3"/>
  <c r="J353" i="3"/>
  <c r="D354" i="3"/>
  <c r="L357" i="3"/>
  <c r="O357" i="3" s="1"/>
  <c r="M357" i="3"/>
  <c r="P357" i="3" s="1"/>
  <c r="N357" i="3"/>
  <c r="O360" i="3"/>
  <c r="P360" i="3"/>
  <c r="L361" i="3"/>
  <c r="L359" i="3" s="1"/>
  <c r="M361" i="3"/>
  <c r="M359" i="3" s="1"/>
  <c r="N361" i="3"/>
  <c r="O363" i="3"/>
  <c r="P363" i="3"/>
  <c r="L364" i="3"/>
  <c r="L362" i="3" s="1"/>
  <c r="O362" i="3" s="1"/>
  <c r="M364" i="3"/>
  <c r="P364" i="3" s="1"/>
  <c r="N364" i="3"/>
  <c r="N362" i="3" s="1"/>
  <c r="J367" i="3"/>
  <c r="K367" i="3"/>
  <c r="I368" i="3"/>
  <c r="J368" i="3"/>
  <c r="I369" i="3"/>
  <c r="J369" i="3"/>
  <c r="J370" i="3"/>
  <c r="K370" i="3"/>
  <c r="I371" i="3"/>
  <c r="I365" i="3" s="1"/>
  <c r="J371" i="3"/>
  <c r="J365" i="3" s="1"/>
  <c r="J372" i="3"/>
  <c r="K372" i="3"/>
  <c r="D373" i="3"/>
  <c r="I376" i="3"/>
  <c r="K376" i="3" s="1"/>
  <c r="J376" i="3"/>
  <c r="L378" i="3"/>
  <c r="O378" i="3" s="1"/>
  <c r="M378" i="3"/>
  <c r="N378" i="3"/>
  <c r="O381" i="3"/>
  <c r="P381" i="3"/>
  <c r="L382" i="3"/>
  <c r="M382" i="3"/>
  <c r="P382" i="3" s="1"/>
  <c r="N382" i="3"/>
  <c r="N380" i="3" s="1"/>
  <c r="O384" i="3"/>
  <c r="P384" i="3"/>
  <c r="L385" i="3"/>
  <c r="L383" i="3" s="1"/>
  <c r="O383" i="3" s="1"/>
  <c r="M385" i="3"/>
  <c r="P385" i="3" s="1"/>
  <c r="N385" i="3"/>
  <c r="N383" i="3" s="1"/>
  <c r="K387" i="3"/>
  <c r="K388" i="3"/>
  <c r="A391" i="3"/>
  <c r="L22" i="2"/>
  <c r="O22" i="2" s="1"/>
  <c r="M22" i="2"/>
  <c r="M19" i="2" s="1"/>
  <c r="N22" i="2"/>
  <c r="L25" i="2"/>
  <c r="M25" i="2"/>
  <c r="N25" i="2"/>
  <c r="P25" i="2"/>
  <c r="L45" i="2"/>
  <c r="M45" i="2"/>
  <c r="P45" i="2" s="1"/>
  <c r="N45" i="2"/>
  <c r="O45" i="2"/>
  <c r="O48" i="2"/>
  <c r="P48" i="2"/>
  <c r="L49" i="2"/>
  <c r="L47" i="2" s="1"/>
  <c r="M49" i="2"/>
  <c r="M47" i="2" s="1"/>
  <c r="N49" i="2"/>
  <c r="N47" i="2" s="1"/>
  <c r="O51" i="2"/>
  <c r="P51" i="2"/>
  <c r="L52" i="2"/>
  <c r="O52" i="2" s="1"/>
  <c r="M52" i="2"/>
  <c r="M50" i="2" s="1"/>
  <c r="P50" i="2" s="1"/>
  <c r="N52" i="2"/>
  <c r="N50" i="2" s="1"/>
  <c r="L60" i="2"/>
  <c r="O60" i="2" s="1"/>
  <c r="M60" i="2"/>
  <c r="N60" i="2"/>
  <c r="O63" i="2"/>
  <c r="P63" i="2"/>
  <c r="L64" i="2"/>
  <c r="L62" i="2" s="1"/>
  <c r="M64" i="2"/>
  <c r="N64" i="2"/>
  <c r="O66" i="2"/>
  <c r="P66" i="2"/>
  <c r="L67" i="2"/>
  <c r="L65" i="2" s="1"/>
  <c r="O65" i="2" s="1"/>
  <c r="M67" i="2"/>
  <c r="N67" i="2"/>
  <c r="N65" i="2" s="1"/>
  <c r="L73" i="2"/>
  <c r="O73" i="2" s="1"/>
  <c r="M73" i="2"/>
  <c r="N73" i="2"/>
  <c r="P73" i="2"/>
  <c r="O76" i="2"/>
  <c r="P76" i="2"/>
  <c r="L77" i="2"/>
  <c r="L75" i="2" s="1"/>
  <c r="M77" i="2"/>
  <c r="M75" i="2" s="1"/>
  <c r="N77" i="2"/>
  <c r="N75" i="2" s="1"/>
  <c r="O79" i="2"/>
  <c r="P79" i="2"/>
  <c r="L80" i="2"/>
  <c r="O80" i="2" s="1"/>
  <c r="M80" i="2"/>
  <c r="M78" i="2" s="1"/>
  <c r="P78" i="2" s="1"/>
  <c r="N80" i="2"/>
  <c r="N78" i="2" s="1"/>
  <c r="J82" i="2"/>
  <c r="J70" i="2" s="1"/>
  <c r="J83" i="2"/>
  <c r="J71" i="2" s="1"/>
  <c r="I84" i="2"/>
  <c r="K84" i="2" s="1"/>
  <c r="I85" i="2"/>
  <c r="I86" i="2"/>
  <c r="K86" i="2" s="1"/>
  <c r="I87" i="2"/>
  <c r="K87" i="2" s="1"/>
  <c r="I88" i="2"/>
  <c r="K88" i="2" s="1"/>
  <c r="I89" i="2"/>
  <c r="K89" i="2" s="1"/>
  <c r="I90" i="2"/>
  <c r="K90" i="2" s="1"/>
  <c r="J92" i="2"/>
  <c r="J93" i="2"/>
  <c r="L95" i="2"/>
  <c r="O95" i="2" s="1"/>
  <c r="M95" i="2"/>
  <c r="P95" i="2" s="1"/>
  <c r="N95" i="2"/>
  <c r="O98" i="2"/>
  <c r="P98" i="2"/>
  <c r="L99" i="2"/>
  <c r="L97" i="2" s="1"/>
  <c r="O97" i="2" s="1"/>
  <c r="M99" i="2"/>
  <c r="M97" i="2" s="1"/>
  <c r="P97" i="2" s="1"/>
  <c r="N99" i="2"/>
  <c r="N97" i="2" s="1"/>
  <c r="O101" i="2"/>
  <c r="P101" i="2"/>
  <c r="L102" i="2"/>
  <c r="O102" i="2" s="1"/>
  <c r="M102" i="2"/>
  <c r="P102" i="2" s="1"/>
  <c r="N102" i="2"/>
  <c r="N100" i="2" s="1"/>
  <c r="I108" i="2"/>
  <c r="I92" i="2" s="1"/>
  <c r="K92" i="2" s="1"/>
  <c r="I109" i="2"/>
  <c r="K109" i="2" s="1"/>
  <c r="I117" i="2"/>
  <c r="K117" i="2" s="1"/>
  <c r="L126" i="2"/>
  <c r="M126" i="2"/>
  <c r="P126" i="2" s="1"/>
  <c r="N126" i="2"/>
  <c r="O126" i="2"/>
  <c r="O129" i="2"/>
  <c r="P129" i="2"/>
  <c r="L130" i="2"/>
  <c r="M130" i="2"/>
  <c r="P130" i="2" s="1"/>
  <c r="N130" i="2"/>
  <c r="N128" i="2" s="1"/>
  <c r="O132" i="2"/>
  <c r="P132" i="2"/>
  <c r="L133" i="2"/>
  <c r="O133" i="2" s="1"/>
  <c r="M133" i="2"/>
  <c r="M131" i="2" s="1"/>
  <c r="P131" i="2" s="1"/>
  <c r="N133" i="2"/>
  <c r="N131" i="2" s="1"/>
  <c r="J136" i="2"/>
  <c r="J137" i="2"/>
  <c r="J138" i="2"/>
  <c r="L140" i="2"/>
  <c r="M140" i="2"/>
  <c r="N140" i="2"/>
  <c r="O140" i="2"/>
  <c r="O143" i="2"/>
  <c r="P143" i="2"/>
  <c r="L144" i="2"/>
  <c r="L142" i="2" s="1"/>
  <c r="M144" i="2"/>
  <c r="M142" i="2" s="1"/>
  <c r="N144" i="2"/>
  <c r="O146" i="2"/>
  <c r="P146" i="2"/>
  <c r="L147" i="2"/>
  <c r="O147" i="2" s="1"/>
  <c r="M147" i="2"/>
  <c r="M145" i="2" s="1"/>
  <c r="P145" i="2" s="1"/>
  <c r="N147" i="2"/>
  <c r="N145" i="2" s="1"/>
  <c r="I150" i="2"/>
  <c r="K150" i="2" s="1"/>
  <c r="I151" i="2"/>
  <c r="K151" i="2" s="1"/>
  <c r="I152" i="2"/>
  <c r="K152" i="2" s="1"/>
  <c r="I153" i="2"/>
  <c r="K153" i="2" s="1"/>
  <c r="I154" i="2"/>
  <c r="I136" i="2" s="1"/>
  <c r="K136" i="2" s="1"/>
  <c r="J156" i="2"/>
  <c r="L158" i="2"/>
  <c r="O158" i="2" s="1"/>
  <c r="M158" i="2"/>
  <c r="N158" i="2"/>
  <c r="P158" i="2"/>
  <c r="O161" i="2"/>
  <c r="P161" i="2"/>
  <c r="L162" i="2"/>
  <c r="L160" i="2" s="1"/>
  <c r="M162" i="2"/>
  <c r="M160" i="2" s="1"/>
  <c r="P160" i="2" s="1"/>
  <c r="N162" i="2"/>
  <c r="N160" i="2" s="1"/>
  <c r="O164" i="2"/>
  <c r="P164" i="2"/>
  <c r="L165" i="2"/>
  <c r="O165" i="2" s="1"/>
  <c r="M165" i="2"/>
  <c r="M163" i="2" s="1"/>
  <c r="P163" i="2" s="1"/>
  <c r="N165" i="2"/>
  <c r="N163" i="2" s="1"/>
  <c r="I167" i="2"/>
  <c r="I168" i="2" s="1"/>
  <c r="K168" i="2" s="1"/>
  <c r="J172" i="2"/>
  <c r="L174" i="2"/>
  <c r="M174" i="2"/>
  <c r="N174" i="2"/>
  <c r="P174" i="2"/>
  <c r="O177" i="2"/>
  <c r="P177" i="2"/>
  <c r="L178" i="2"/>
  <c r="L176" i="2" s="1"/>
  <c r="M178" i="2"/>
  <c r="M176" i="2" s="1"/>
  <c r="N178" i="2"/>
  <c r="O180" i="2"/>
  <c r="P180" i="2"/>
  <c r="L181" i="2"/>
  <c r="O181" i="2" s="1"/>
  <c r="M181" i="2"/>
  <c r="M179" i="2" s="1"/>
  <c r="P179" i="2" s="1"/>
  <c r="N181" i="2"/>
  <c r="N179" i="2" s="1"/>
  <c r="I183" i="2"/>
  <c r="K183" i="2" s="1"/>
  <c r="K184" i="2"/>
  <c r="L187" i="2"/>
  <c r="O187" i="2" s="1"/>
  <c r="M187" i="2"/>
  <c r="N187" i="2"/>
  <c r="O190" i="2"/>
  <c r="P190" i="2"/>
  <c r="L191" i="2"/>
  <c r="M191" i="2"/>
  <c r="M189" i="2" s="1"/>
  <c r="N191" i="2"/>
  <c r="O193" i="2"/>
  <c r="P193" i="2"/>
  <c r="L194" i="2"/>
  <c r="O194" i="2" s="1"/>
  <c r="M194" i="2"/>
  <c r="M192" i="2" s="1"/>
  <c r="P192" i="2" s="1"/>
  <c r="N194" i="2"/>
  <c r="N192" i="2" s="1"/>
  <c r="J195" i="2"/>
  <c r="L196" i="2"/>
  <c r="O196" i="2" s="1"/>
  <c r="P196" i="2"/>
  <c r="I198" i="2"/>
  <c r="I195" i="2" s="1"/>
  <c r="J199" i="2"/>
  <c r="J202" i="2"/>
  <c r="N203" i="2"/>
  <c r="P203" i="2"/>
  <c r="L204" i="2"/>
  <c r="L205" i="2"/>
  <c r="L206" i="2"/>
  <c r="L207" i="2"/>
  <c r="I209" i="2"/>
  <c r="K209" i="2" s="1"/>
  <c r="I211" i="2"/>
  <c r="K211" i="2" s="1"/>
  <c r="I212" i="2"/>
  <c r="K212" i="2" s="1"/>
  <c r="J213" i="2"/>
  <c r="N214" i="2"/>
  <c r="P214" i="2"/>
  <c r="L215" i="2"/>
  <c r="L216" i="2"/>
  <c r="L217" i="2"/>
  <c r="I219" i="2"/>
  <c r="K219" i="2" s="1"/>
  <c r="I220" i="2"/>
  <c r="I213" i="2" s="1"/>
  <c r="K213" i="2" s="1"/>
  <c r="J221" i="2"/>
  <c r="N222" i="2"/>
  <c r="P222" i="2"/>
  <c r="L223" i="2"/>
  <c r="L224" i="2"/>
  <c r="L225" i="2"/>
  <c r="I228" i="2"/>
  <c r="K228" i="2" s="1"/>
  <c r="I229" i="2"/>
  <c r="I221" i="2" s="1"/>
  <c r="K221" i="2" s="1"/>
  <c r="I230" i="2"/>
  <c r="J231" i="2"/>
  <c r="J185" i="2" s="1"/>
  <c r="N233" i="2"/>
  <c r="N234" i="2"/>
  <c r="N235" i="2"/>
  <c r="N236" i="2"/>
  <c r="J238" i="2"/>
  <c r="I240" i="2"/>
  <c r="K240" i="2" s="1"/>
  <c r="J240" i="2"/>
  <c r="I241" i="2"/>
  <c r="J241" i="2"/>
  <c r="K241" i="2"/>
  <c r="J242" i="2"/>
  <c r="N243" i="2"/>
  <c r="N232" i="2" s="1"/>
  <c r="P243" i="2"/>
  <c r="L244" i="2"/>
  <c r="L245" i="2"/>
  <c r="L246" i="2"/>
  <c r="L247" i="2"/>
  <c r="I249" i="2"/>
  <c r="K251" i="2"/>
  <c r="K252" i="2"/>
  <c r="J253" i="2"/>
  <c r="N254" i="2"/>
  <c r="P254" i="2"/>
  <c r="L255" i="2"/>
  <c r="L256" i="2"/>
  <c r="L257" i="2"/>
  <c r="L258" i="2"/>
  <c r="I260" i="2"/>
  <c r="K260" i="2" s="1"/>
  <c r="K262" i="2"/>
  <c r="K263" i="2"/>
  <c r="I265" i="2"/>
  <c r="K265" i="2" s="1"/>
  <c r="J265" i="2"/>
  <c r="L267" i="2"/>
  <c r="M267" i="2"/>
  <c r="P267" i="2" s="1"/>
  <c r="N267" i="2"/>
  <c r="O270" i="2"/>
  <c r="P270" i="2"/>
  <c r="L271" i="2"/>
  <c r="O271" i="2" s="1"/>
  <c r="M271" i="2"/>
  <c r="M269" i="2" s="1"/>
  <c r="P269" i="2" s="1"/>
  <c r="N271" i="2"/>
  <c r="N269" i="2" s="1"/>
  <c r="O273" i="2"/>
  <c r="P273" i="2"/>
  <c r="L274" i="2"/>
  <c r="O274" i="2" s="1"/>
  <c r="M274" i="2"/>
  <c r="M272" i="2" s="1"/>
  <c r="P272" i="2" s="1"/>
  <c r="N274" i="2"/>
  <c r="J281" i="2"/>
  <c r="L283" i="2"/>
  <c r="M283" i="2"/>
  <c r="N283" i="2"/>
  <c r="O283" i="2"/>
  <c r="O286" i="2"/>
  <c r="P286" i="2"/>
  <c r="L287" i="2"/>
  <c r="M287" i="2"/>
  <c r="M285" i="2" s="1"/>
  <c r="N287" i="2"/>
  <c r="N285" i="2" s="1"/>
  <c r="O289" i="2"/>
  <c r="P289" i="2"/>
  <c r="L290" i="2"/>
  <c r="O290" i="2" s="1"/>
  <c r="M290" i="2"/>
  <c r="M288" i="2" s="1"/>
  <c r="P288" i="2" s="1"/>
  <c r="N290" i="2"/>
  <c r="N288" i="2" s="1"/>
  <c r="I292" i="2"/>
  <c r="K292" i="2" s="1"/>
  <c r="I293" i="2"/>
  <c r="K293" i="2" s="1"/>
  <c r="J293" i="2"/>
  <c r="J280" i="2" s="1"/>
  <c r="I295" i="2"/>
  <c r="K295" i="2" s="1"/>
  <c r="I296" i="2"/>
  <c r="K296" i="2" s="1"/>
  <c r="J302" i="2"/>
  <c r="L304" i="2"/>
  <c r="M304" i="2"/>
  <c r="P304" i="2" s="1"/>
  <c r="N304" i="2"/>
  <c r="O307" i="2"/>
  <c r="P307" i="2"/>
  <c r="L308" i="2"/>
  <c r="L306" i="2" s="1"/>
  <c r="M308" i="2"/>
  <c r="M306" i="2" s="1"/>
  <c r="N308" i="2"/>
  <c r="O310" i="2"/>
  <c r="P310" i="2"/>
  <c r="L311" i="2"/>
  <c r="L309" i="2" s="1"/>
  <c r="O309" i="2" s="1"/>
  <c r="M311" i="2"/>
  <c r="M309" i="2" s="1"/>
  <c r="P309" i="2" s="1"/>
  <c r="N311" i="2"/>
  <c r="I314" i="2"/>
  <c r="K314" i="2" s="1"/>
  <c r="I315" i="2"/>
  <c r="K315" i="2" s="1"/>
  <c r="I316" i="2"/>
  <c r="K316" i="2" s="1"/>
  <c r="I317" i="2"/>
  <c r="K317" i="2" s="1"/>
  <c r="J319" i="2"/>
  <c r="L321" i="2"/>
  <c r="O321" i="2" s="1"/>
  <c r="M321" i="2"/>
  <c r="N321" i="2"/>
  <c r="O324" i="2"/>
  <c r="P324" i="2"/>
  <c r="L325" i="2"/>
  <c r="L323" i="2" s="1"/>
  <c r="O323" i="2" s="1"/>
  <c r="M325" i="2"/>
  <c r="M323" i="2" s="1"/>
  <c r="P323" i="2" s="1"/>
  <c r="N325" i="2"/>
  <c r="N323" i="2" s="1"/>
  <c r="O327" i="2"/>
  <c r="P327" i="2"/>
  <c r="L328" i="2"/>
  <c r="O328" i="2" s="1"/>
  <c r="M328" i="2"/>
  <c r="M326" i="2" s="1"/>
  <c r="P326" i="2" s="1"/>
  <c r="N328" i="2"/>
  <c r="N326" i="2" s="1"/>
  <c r="I330" i="2"/>
  <c r="L334" i="2"/>
  <c r="M334" i="2"/>
  <c r="P334" i="2" s="1"/>
  <c r="N334" i="2"/>
  <c r="O334" i="2"/>
  <c r="O337" i="2"/>
  <c r="P337" i="2"/>
  <c r="L338" i="2"/>
  <c r="L336" i="2" s="1"/>
  <c r="M338" i="2"/>
  <c r="M336" i="2" s="1"/>
  <c r="N338" i="2"/>
  <c r="O340" i="2"/>
  <c r="P340" i="2"/>
  <c r="L341" i="2"/>
  <c r="L339" i="2" s="1"/>
  <c r="O339" i="2" s="1"/>
  <c r="M341" i="2"/>
  <c r="M339" i="2" s="1"/>
  <c r="P339" i="2" s="1"/>
  <c r="N341" i="2"/>
  <c r="N339" i="2" s="1"/>
  <c r="I344" i="2"/>
  <c r="I332" i="2" s="1"/>
  <c r="J344" i="2"/>
  <c r="I346" i="2"/>
  <c r="J346" i="2"/>
  <c r="J347" i="2"/>
  <c r="J348" i="2"/>
  <c r="J349" i="2"/>
  <c r="D350" i="2"/>
  <c r="J352" i="2"/>
  <c r="J353" i="2"/>
  <c r="D354" i="2"/>
  <c r="L357" i="2"/>
  <c r="O357" i="2" s="1"/>
  <c r="M357" i="2"/>
  <c r="P357" i="2" s="1"/>
  <c r="N357" i="2"/>
  <c r="O360" i="2"/>
  <c r="P360" i="2"/>
  <c r="L361" i="2"/>
  <c r="L359" i="2" s="1"/>
  <c r="M361" i="2"/>
  <c r="M359" i="2" s="1"/>
  <c r="N361" i="2"/>
  <c r="O363" i="2"/>
  <c r="P363" i="2"/>
  <c r="L364" i="2"/>
  <c r="L362" i="2" s="1"/>
  <c r="O362" i="2" s="1"/>
  <c r="M364" i="2"/>
  <c r="M362" i="2" s="1"/>
  <c r="P362" i="2" s="1"/>
  <c r="N364" i="2"/>
  <c r="N362" i="2" s="1"/>
  <c r="J367" i="2"/>
  <c r="K367" i="2"/>
  <c r="I368" i="2"/>
  <c r="J368" i="2"/>
  <c r="I369" i="2"/>
  <c r="J369" i="2"/>
  <c r="J370" i="2"/>
  <c r="K370" i="2"/>
  <c r="I371" i="2"/>
  <c r="I365" i="2" s="1"/>
  <c r="J371" i="2"/>
  <c r="J365" i="2" s="1"/>
  <c r="J372" i="2"/>
  <c r="K372" i="2"/>
  <c r="D373" i="2"/>
  <c r="I376" i="2"/>
  <c r="K376" i="2" s="1"/>
  <c r="J376" i="2"/>
  <c r="L378" i="2"/>
  <c r="O378" i="2" s="1"/>
  <c r="M378" i="2"/>
  <c r="N378" i="2"/>
  <c r="O381" i="2"/>
  <c r="P381" i="2"/>
  <c r="L382" i="2"/>
  <c r="L380" i="2" s="1"/>
  <c r="O380" i="2" s="1"/>
  <c r="M382" i="2"/>
  <c r="P382" i="2" s="1"/>
  <c r="N382" i="2"/>
  <c r="N380" i="2" s="1"/>
  <c r="O384" i="2"/>
  <c r="P384" i="2"/>
  <c r="L385" i="2"/>
  <c r="L383" i="2" s="1"/>
  <c r="O383" i="2" s="1"/>
  <c r="M385" i="2"/>
  <c r="P385" i="2" s="1"/>
  <c r="N385" i="2"/>
  <c r="N383" i="2" s="1"/>
  <c r="K387" i="2"/>
  <c r="K388" i="2"/>
  <c r="A391" i="2"/>
  <c r="A391" i="1"/>
  <c r="K388" i="1"/>
  <c r="K387" i="1"/>
  <c r="N385" i="1"/>
  <c r="N383" i="1" s="1"/>
  <c r="M385" i="1"/>
  <c r="L385" i="1"/>
  <c r="L383" i="1" s="1"/>
  <c r="O383" i="1" s="1"/>
  <c r="P384" i="1"/>
  <c r="O384" i="1"/>
  <c r="N382" i="1"/>
  <c r="N380" i="1" s="1"/>
  <c r="M382" i="1"/>
  <c r="M380" i="1" s="1"/>
  <c r="P380" i="1" s="1"/>
  <c r="L382" i="1"/>
  <c r="L380" i="1" s="1"/>
  <c r="O380" i="1" s="1"/>
  <c r="P381" i="1"/>
  <c r="O381" i="1"/>
  <c r="O378" i="1"/>
  <c r="N378" i="1"/>
  <c r="M378" i="1"/>
  <c r="P378" i="1" s="1"/>
  <c r="L378" i="1"/>
  <c r="K376" i="1"/>
  <c r="J376" i="1"/>
  <c r="I376" i="1"/>
  <c r="D373" i="1"/>
  <c r="K372" i="1"/>
  <c r="J372" i="1"/>
  <c r="J371" i="1"/>
  <c r="J365" i="1" s="1"/>
  <c r="I371" i="1"/>
  <c r="K370" i="1"/>
  <c r="J370" i="1"/>
  <c r="J369" i="1"/>
  <c r="I369" i="1"/>
  <c r="J368" i="1"/>
  <c r="I368" i="1"/>
  <c r="K367" i="1"/>
  <c r="J367" i="1"/>
  <c r="N364" i="1"/>
  <c r="N362" i="1" s="1"/>
  <c r="M364" i="1"/>
  <c r="M362" i="1" s="1"/>
  <c r="P362" i="1" s="1"/>
  <c r="L364" i="1"/>
  <c r="O364" i="1" s="1"/>
  <c r="P363" i="1"/>
  <c r="O363" i="1"/>
  <c r="N361" i="1"/>
  <c r="N359" i="1" s="1"/>
  <c r="M361" i="1"/>
  <c r="M359" i="1" s="1"/>
  <c r="L361" i="1"/>
  <c r="P360" i="1"/>
  <c r="O360" i="1"/>
  <c r="P357" i="1"/>
  <c r="O357" i="1"/>
  <c r="N357" i="1"/>
  <c r="M357" i="1"/>
  <c r="L357" i="1"/>
  <c r="D354" i="1"/>
  <c r="J353" i="1"/>
  <c r="J352" i="1"/>
  <c r="D350" i="1"/>
  <c r="J349" i="1"/>
  <c r="J348" i="1"/>
  <c r="J347" i="1"/>
  <c r="J346" i="1"/>
  <c r="I346" i="1"/>
  <c r="J344" i="1"/>
  <c r="I344" i="1"/>
  <c r="N341" i="1"/>
  <c r="N339" i="1" s="1"/>
  <c r="M341" i="1"/>
  <c r="M339" i="1" s="1"/>
  <c r="P339" i="1" s="1"/>
  <c r="L341" i="1"/>
  <c r="O341" i="1" s="1"/>
  <c r="P340" i="1"/>
  <c r="O340" i="1"/>
  <c r="N338" i="1"/>
  <c r="M338" i="1"/>
  <c r="M336" i="1" s="1"/>
  <c r="L338" i="1"/>
  <c r="P337" i="1"/>
  <c r="O337" i="1"/>
  <c r="P334" i="1"/>
  <c r="O334" i="1"/>
  <c r="N334" i="1"/>
  <c r="M334" i="1"/>
  <c r="L334" i="1"/>
  <c r="I330" i="1"/>
  <c r="K330" i="1" s="1"/>
  <c r="N328" i="1"/>
  <c r="N326" i="1" s="1"/>
  <c r="M328" i="1"/>
  <c r="P328" i="1" s="1"/>
  <c r="L328" i="1"/>
  <c r="O328" i="1" s="1"/>
  <c r="P327" i="1"/>
  <c r="O327" i="1"/>
  <c r="N325" i="1"/>
  <c r="N323" i="1" s="1"/>
  <c r="M325" i="1"/>
  <c r="P325" i="1" s="1"/>
  <c r="L325" i="1"/>
  <c r="O325" i="1" s="1"/>
  <c r="P324" i="1"/>
  <c r="O324" i="1"/>
  <c r="P321" i="1"/>
  <c r="N321" i="1"/>
  <c r="M321" i="1"/>
  <c r="L321" i="1"/>
  <c r="J319" i="1"/>
  <c r="I317" i="1"/>
  <c r="K317" i="1" s="1"/>
  <c r="I316" i="1"/>
  <c r="K316" i="1" s="1"/>
  <c r="I315" i="1"/>
  <c r="K315" i="1" s="1"/>
  <c r="I314" i="1"/>
  <c r="N311" i="1"/>
  <c r="M311" i="1"/>
  <c r="L311" i="1"/>
  <c r="L309" i="1" s="1"/>
  <c r="O309" i="1" s="1"/>
  <c r="P310" i="1"/>
  <c r="O310" i="1"/>
  <c r="N308" i="1"/>
  <c r="N306" i="1" s="1"/>
  <c r="M308" i="1"/>
  <c r="L308" i="1"/>
  <c r="P307" i="1"/>
  <c r="O307" i="1"/>
  <c r="N304" i="1"/>
  <c r="M304" i="1"/>
  <c r="P304" i="1" s="1"/>
  <c r="L304" i="1"/>
  <c r="O304" i="1" s="1"/>
  <c r="J302" i="1"/>
  <c r="I296" i="1"/>
  <c r="K296" i="1" s="1"/>
  <c r="I295" i="1"/>
  <c r="K295" i="1" s="1"/>
  <c r="J293" i="1"/>
  <c r="I293" i="1"/>
  <c r="K293" i="1" s="1"/>
  <c r="I292" i="1"/>
  <c r="I281" i="1" s="1"/>
  <c r="K281" i="1" s="1"/>
  <c r="N290" i="1"/>
  <c r="M290" i="1"/>
  <c r="L290" i="1"/>
  <c r="O290" i="1" s="1"/>
  <c r="P289" i="1"/>
  <c r="O289" i="1"/>
  <c r="N287" i="1"/>
  <c r="N285" i="1" s="1"/>
  <c r="M287" i="1"/>
  <c r="L287" i="1"/>
  <c r="P286" i="1"/>
  <c r="O286" i="1"/>
  <c r="P283" i="1"/>
  <c r="O283" i="1"/>
  <c r="N283" i="1"/>
  <c r="M283" i="1"/>
  <c r="L283" i="1"/>
  <c r="J281" i="1"/>
  <c r="J280" i="1"/>
  <c r="N274" i="1"/>
  <c r="N272" i="1" s="1"/>
  <c r="M274" i="1"/>
  <c r="L274" i="1"/>
  <c r="L272" i="1" s="1"/>
  <c r="O272" i="1" s="1"/>
  <c r="P273" i="1"/>
  <c r="O273" i="1"/>
  <c r="N271" i="1"/>
  <c r="N269" i="1" s="1"/>
  <c r="M271" i="1"/>
  <c r="L271" i="1"/>
  <c r="L269" i="1" s="1"/>
  <c r="O269" i="1" s="1"/>
  <c r="P270" i="1"/>
  <c r="O270" i="1"/>
  <c r="N267" i="1"/>
  <c r="M267" i="1"/>
  <c r="P267" i="1" s="1"/>
  <c r="L267" i="1"/>
  <c r="O267" i="1" s="1"/>
  <c r="K265" i="1"/>
  <c r="J265" i="1"/>
  <c r="I265" i="1"/>
  <c r="K263" i="1"/>
  <c r="K262" i="1"/>
  <c r="I260" i="1"/>
  <c r="I253" i="1" s="1"/>
  <c r="K253" i="1" s="1"/>
  <c r="L258" i="1"/>
  <c r="L257" i="1"/>
  <c r="L256" i="1"/>
  <c r="L255" i="1"/>
  <c r="P254" i="1"/>
  <c r="N254" i="1"/>
  <c r="J253" i="1"/>
  <c r="J231" i="1" s="1"/>
  <c r="J185" i="1" s="1"/>
  <c r="K252" i="1"/>
  <c r="K251" i="1"/>
  <c r="I249" i="1"/>
  <c r="K249" i="1" s="1"/>
  <c r="L247" i="1"/>
  <c r="L246" i="1"/>
  <c r="L245" i="1"/>
  <c r="L244" i="1"/>
  <c r="P243" i="1"/>
  <c r="N243" i="1"/>
  <c r="N232" i="1" s="1"/>
  <c r="J242" i="1"/>
  <c r="J241" i="1"/>
  <c r="I241" i="1"/>
  <c r="K241" i="1" s="1"/>
  <c r="K240" i="1"/>
  <c r="J240" i="1"/>
  <c r="I240" i="1"/>
  <c r="J238" i="1"/>
  <c r="N236" i="1"/>
  <c r="N235" i="1"/>
  <c r="N234" i="1"/>
  <c r="N233" i="1"/>
  <c r="I230" i="1"/>
  <c r="K230" i="1" s="1"/>
  <c r="I229" i="1"/>
  <c r="K229" i="1" s="1"/>
  <c r="I228" i="1"/>
  <c r="K228" i="1" s="1"/>
  <c r="L225" i="1"/>
  <c r="L224" i="1"/>
  <c r="L223" i="1"/>
  <c r="P222" i="1"/>
  <c r="N222" i="1"/>
  <c r="J221" i="1"/>
  <c r="I220" i="1"/>
  <c r="I213" i="1" s="1"/>
  <c r="K213" i="1" s="1"/>
  <c r="I219" i="1"/>
  <c r="K219" i="1" s="1"/>
  <c r="L217" i="1"/>
  <c r="L216" i="1"/>
  <c r="L215" i="1"/>
  <c r="P214" i="1"/>
  <c r="N214" i="1"/>
  <c r="J213" i="1"/>
  <c r="I212" i="1"/>
  <c r="K212" i="1" s="1"/>
  <c r="I211" i="1"/>
  <c r="K211" i="1" s="1"/>
  <c r="I209" i="1"/>
  <c r="K209" i="1" s="1"/>
  <c r="L207" i="1"/>
  <c r="L206" i="1"/>
  <c r="L205" i="1"/>
  <c r="L204" i="1"/>
  <c r="P203" i="1"/>
  <c r="N203" i="1"/>
  <c r="J202" i="1"/>
  <c r="J199" i="1"/>
  <c r="I198" i="1"/>
  <c r="K198" i="1" s="1"/>
  <c r="P196" i="1"/>
  <c r="L196" i="1"/>
  <c r="O196" i="1" s="1"/>
  <c r="J195" i="1"/>
  <c r="N194" i="1"/>
  <c r="N192" i="1" s="1"/>
  <c r="M194" i="1"/>
  <c r="L194" i="1"/>
  <c r="O194" i="1" s="1"/>
  <c r="P193" i="1"/>
  <c r="O193" i="1"/>
  <c r="N191" i="1"/>
  <c r="M191" i="1"/>
  <c r="L191" i="1"/>
  <c r="L189" i="1" s="1"/>
  <c r="P190" i="1"/>
  <c r="O190" i="1"/>
  <c r="N187" i="1"/>
  <c r="M187" i="1"/>
  <c r="P187" i="1" s="1"/>
  <c r="L187" i="1"/>
  <c r="O187" i="1" s="1"/>
  <c r="K184" i="1"/>
  <c r="I183" i="1"/>
  <c r="N181" i="1"/>
  <c r="N179" i="1" s="1"/>
  <c r="M181" i="1"/>
  <c r="P181" i="1" s="1"/>
  <c r="L181" i="1"/>
  <c r="O181" i="1" s="1"/>
  <c r="P180" i="1"/>
  <c r="O180" i="1"/>
  <c r="N178" i="1"/>
  <c r="N176" i="1" s="1"/>
  <c r="M178" i="1"/>
  <c r="L178" i="1"/>
  <c r="P177" i="1"/>
  <c r="O177" i="1"/>
  <c r="P174" i="1"/>
  <c r="O174" i="1"/>
  <c r="N174" i="1"/>
  <c r="M174" i="1"/>
  <c r="L174" i="1"/>
  <c r="J172" i="1"/>
  <c r="I169" i="1"/>
  <c r="I168" i="1"/>
  <c r="K168" i="1" s="1"/>
  <c r="I167" i="1"/>
  <c r="K167" i="1" s="1"/>
  <c r="N165" i="1"/>
  <c r="N163" i="1" s="1"/>
  <c r="M165" i="1"/>
  <c r="P165" i="1" s="1"/>
  <c r="L165" i="1"/>
  <c r="O165" i="1" s="1"/>
  <c r="P164" i="1"/>
  <c r="O164" i="1"/>
  <c r="N162" i="1"/>
  <c r="N160" i="1" s="1"/>
  <c r="M162" i="1"/>
  <c r="L162" i="1"/>
  <c r="P161" i="1"/>
  <c r="O161" i="1"/>
  <c r="P158" i="1"/>
  <c r="O158" i="1"/>
  <c r="N158" i="1"/>
  <c r="M158" i="1"/>
  <c r="L158" i="1"/>
  <c r="J156" i="1"/>
  <c r="I154" i="1"/>
  <c r="I153" i="1"/>
  <c r="I152" i="1"/>
  <c r="K152" i="1" s="1"/>
  <c r="I151" i="1"/>
  <c r="K151" i="1" s="1"/>
  <c r="I150" i="1"/>
  <c r="K150" i="1" s="1"/>
  <c r="N147" i="1"/>
  <c r="N145" i="1" s="1"/>
  <c r="M147" i="1"/>
  <c r="L147" i="1"/>
  <c r="P146" i="1"/>
  <c r="O146" i="1"/>
  <c r="N144" i="1"/>
  <c r="N142" i="1" s="1"/>
  <c r="M144" i="1"/>
  <c r="P144" i="1" s="1"/>
  <c r="L144" i="1"/>
  <c r="L142" i="1" s="1"/>
  <c r="O142" i="1" s="1"/>
  <c r="P143" i="1"/>
  <c r="O143" i="1"/>
  <c r="O140" i="1"/>
  <c r="N140" i="1"/>
  <c r="M140" i="1"/>
  <c r="P140" i="1" s="1"/>
  <c r="L140" i="1"/>
  <c r="J138" i="1"/>
  <c r="J137" i="1"/>
  <c r="J136" i="1"/>
  <c r="N133" i="1"/>
  <c r="N131" i="1" s="1"/>
  <c r="M133" i="1"/>
  <c r="L133" i="1"/>
  <c r="L131" i="1" s="1"/>
  <c r="O131" i="1" s="1"/>
  <c r="P132" i="1"/>
  <c r="O132" i="1"/>
  <c r="N130" i="1"/>
  <c r="N128" i="1" s="1"/>
  <c r="M130" i="1"/>
  <c r="P130" i="1" s="1"/>
  <c r="L130" i="1"/>
  <c r="L128" i="1" s="1"/>
  <c r="O128" i="1" s="1"/>
  <c r="P129" i="1"/>
  <c r="O129" i="1"/>
  <c r="O126" i="1"/>
  <c r="N126" i="1"/>
  <c r="M126" i="1"/>
  <c r="P126" i="1" s="1"/>
  <c r="L126" i="1"/>
  <c r="I117" i="1"/>
  <c r="K117" i="1" s="1"/>
  <c r="I109" i="1"/>
  <c r="I108" i="1"/>
  <c r="I92" i="1" s="1"/>
  <c r="K92" i="1" s="1"/>
  <c r="N102" i="1"/>
  <c r="N100" i="1" s="1"/>
  <c r="M102" i="1"/>
  <c r="P102" i="1" s="1"/>
  <c r="L102" i="1"/>
  <c r="O102" i="1" s="1"/>
  <c r="P101" i="1"/>
  <c r="O101" i="1"/>
  <c r="N99" i="1"/>
  <c r="M99" i="1"/>
  <c r="P99" i="1" s="1"/>
  <c r="L99" i="1"/>
  <c r="O99" i="1" s="1"/>
  <c r="P98" i="1"/>
  <c r="O98" i="1"/>
  <c r="P95" i="1"/>
  <c r="N95" i="1"/>
  <c r="M95" i="1"/>
  <c r="L95" i="1"/>
  <c r="J93" i="1"/>
  <c r="J92" i="1"/>
  <c r="I90" i="1"/>
  <c r="K90" i="1" s="1"/>
  <c r="I89" i="1"/>
  <c r="K89" i="1" s="1"/>
  <c r="I88" i="1"/>
  <c r="K88" i="1" s="1"/>
  <c r="I87" i="1"/>
  <c r="I86" i="1"/>
  <c r="K86" i="1" s="1"/>
  <c r="I85" i="1"/>
  <c r="K85" i="1" s="1"/>
  <c r="I84" i="1"/>
  <c r="J83" i="1"/>
  <c r="J82" i="1"/>
  <c r="J70" i="1" s="1"/>
  <c r="N80" i="1"/>
  <c r="N78" i="1" s="1"/>
  <c r="M80" i="1"/>
  <c r="M78" i="1" s="1"/>
  <c r="P78" i="1" s="1"/>
  <c r="L80" i="1"/>
  <c r="O80" i="1" s="1"/>
  <c r="P79" i="1"/>
  <c r="O79" i="1"/>
  <c r="N77" i="1"/>
  <c r="M77" i="1"/>
  <c r="L77" i="1"/>
  <c r="P76" i="1"/>
  <c r="O76" i="1"/>
  <c r="P73" i="1"/>
  <c r="O73" i="1"/>
  <c r="N73" i="1"/>
  <c r="M73" i="1"/>
  <c r="L73" i="1"/>
  <c r="J71" i="1"/>
  <c r="N67" i="1"/>
  <c r="N65" i="1" s="1"/>
  <c r="M67" i="1"/>
  <c r="L67" i="1"/>
  <c r="P66" i="1"/>
  <c r="O66" i="1"/>
  <c r="N64" i="1"/>
  <c r="M64" i="1"/>
  <c r="L64" i="1"/>
  <c r="L62" i="1" s="1"/>
  <c r="P63" i="1"/>
  <c r="O63" i="1"/>
  <c r="N60" i="1"/>
  <c r="M60" i="1"/>
  <c r="P60" i="1" s="1"/>
  <c r="L60" i="1"/>
  <c r="O60" i="1" s="1"/>
  <c r="N52" i="1"/>
  <c r="M52" i="1"/>
  <c r="P52" i="1" s="1"/>
  <c r="L52" i="1"/>
  <c r="O52" i="1" s="1"/>
  <c r="P51" i="1"/>
  <c r="O51" i="1"/>
  <c r="N49" i="1"/>
  <c r="M49" i="1"/>
  <c r="L49" i="1"/>
  <c r="L47" i="1" s="1"/>
  <c r="P48" i="1"/>
  <c r="O48" i="1"/>
  <c r="P45" i="1"/>
  <c r="O45" i="1"/>
  <c r="N45" i="1"/>
  <c r="M45" i="1"/>
  <c r="L45" i="1"/>
  <c r="O25" i="1"/>
  <c r="N25" i="1"/>
  <c r="M25" i="1"/>
  <c r="L25" i="1"/>
  <c r="P22" i="1"/>
  <c r="O22" i="1"/>
  <c r="N22" i="1"/>
  <c r="N19" i="1" s="1"/>
  <c r="M22" i="1"/>
  <c r="L22" i="1"/>
  <c r="M19" i="1"/>
  <c r="L19" i="1"/>
  <c r="O165" i="16" l="1"/>
  <c r="O80" i="16"/>
  <c r="N159" i="17"/>
  <c r="N157" i="17" s="1"/>
  <c r="I83" i="17"/>
  <c r="I71" i="17" s="1"/>
  <c r="K71" i="17" s="1"/>
  <c r="O336" i="16"/>
  <c r="L233" i="17"/>
  <c r="O99" i="17"/>
  <c r="P147" i="17"/>
  <c r="P133" i="17"/>
  <c r="I319" i="17"/>
  <c r="K319" i="17" s="1"/>
  <c r="P311" i="17"/>
  <c r="O308" i="17"/>
  <c r="O194" i="17"/>
  <c r="L335" i="17"/>
  <c r="L333" i="17" s="1"/>
  <c r="O274" i="17"/>
  <c r="P80" i="17"/>
  <c r="L236" i="17"/>
  <c r="I168" i="17"/>
  <c r="K168" i="17" s="1"/>
  <c r="K85" i="17"/>
  <c r="O385" i="17"/>
  <c r="O382" i="17"/>
  <c r="K346" i="17"/>
  <c r="K292" i="17"/>
  <c r="K229" i="17"/>
  <c r="P382" i="16"/>
  <c r="J332" i="17"/>
  <c r="K332" i="17" s="1"/>
  <c r="L268" i="17"/>
  <c r="O268" i="17" s="1"/>
  <c r="L203" i="17"/>
  <c r="O203" i="17" s="1"/>
  <c r="N188" i="17"/>
  <c r="P176" i="17"/>
  <c r="L358" i="17"/>
  <c r="L356" i="17" s="1"/>
  <c r="I213" i="17"/>
  <c r="K213" i="17" s="1"/>
  <c r="N96" i="17"/>
  <c r="N94" i="17" s="1"/>
  <c r="I93" i="17"/>
  <c r="K93" i="17" s="1"/>
  <c r="O341" i="17"/>
  <c r="L188" i="17"/>
  <c r="L186" i="17" s="1"/>
  <c r="L235" i="16"/>
  <c r="P271" i="17"/>
  <c r="K167" i="17"/>
  <c r="M74" i="17"/>
  <c r="M72" i="17" s="1"/>
  <c r="O364" i="17"/>
  <c r="N268" i="17"/>
  <c r="N266" i="17" s="1"/>
  <c r="N269" i="17"/>
  <c r="K183" i="17"/>
  <c r="N61" i="17"/>
  <c r="N59" i="17" s="1"/>
  <c r="P306" i="17"/>
  <c r="O306" i="17"/>
  <c r="K152" i="16"/>
  <c r="N379" i="17"/>
  <c r="N377" i="17" s="1"/>
  <c r="K368" i="17"/>
  <c r="P361" i="17"/>
  <c r="L359" i="17"/>
  <c r="O359" i="17" s="1"/>
  <c r="O311" i="17"/>
  <c r="L305" i="17"/>
  <c r="L303" i="17" s="1"/>
  <c r="K281" i="17"/>
  <c r="P287" i="17"/>
  <c r="P274" i="17"/>
  <c r="L269" i="17"/>
  <c r="O269" i="17" s="1"/>
  <c r="L243" i="17"/>
  <c r="O243" i="17" s="1"/>
  <c r="L222" i="17"/>
  <c r="O222" i="17" s="1"/>
  <c r="K172" i="17"/>
  <c r="K156" i="17"/>
  <c r="K152" i="17"/>
  <c r="P144" i="17"/>
  <c r="P130" i="17"/>
  <c r="K229" i="16"/>
  <c r="J343" i="17"/>
  <c r="N322" i="17"/>
  <c r="N320" i="17" s="1"/>
  <c r="N305" i="17"/>
  <c r="N303" i="17" s="1"/>
  <c r="L235" i="17"/>
  <c r="L96" i="17"/>
  <c r="O96" i="17" s="1"/>
  <c r="L61" i="17"/>
  <c r="L59" i="17" s="1"/>
  <c r="P385" i="17"/>
  <c r="P359" i="17"/>
  <c r="J351" i="17"/>
  <c r="P341" i="17"/>
  <c r="M322" i="17"/>
  <c r="P308" i="17"/>
  <c r="P285" i="17"/>
  <c r="M141" i="17"/>
  <c r="M139" i="17" s="1"/>
  <c r="M127" i="17"/>
  <c r="P127" i="17" s="1"/>
  <c r="O102" i="17"/>
  <c r="I82" i="17"/>
  <c r="K82" i="17" s="1"/>
  <c r="P77" i="17"/>
  <c r="M75" i="17"/>
  <c r="P75" i="17" s="1"/>
  <c r="O67" i="17"/>
  <c r="O325" i="17"/>
  <c r="O287" i="17"/>
  <c r="L254" i="17"/>
  <c r="O254" i="17" s="1"/>
  <c r="I238" i="17"/>
  <c r="K238" i="17" s="1"/>
  <c r="K154" i="17"/>
  <c r="L19" i="17"/>
  <c r="P382" i="17"/>
  <c r="K371" i="17"/>
  <c r="K369" i="17"/>
  <c r="P364" i="17"/>
  <c r="K344" i="17"/>
  <c r="P338" i="17"/>
  <c r="L336" i="17"/>
  <c r="O336" i="17" s="1"/>
  <c r="O271" i="17"/>
  <c r="L214" i="17"/>
  <c r="O214" i="17" s="1"/>
  <c r="O191" i="17"/>
  <c r="N189" i="17"/>
  <c r="P189" i="17" s="1"/>
  <c r="N97" i="17"/>
  <c r="O64" i="17"/>
  <c r="N62" i="17"/>
  <c r="O62" i="17" s="1"/>
  <c r="P49" i="17"/>
  <c r="P336" i="17"/>
  <c r="K365" i="17"/>
  <c r="N163" i="17"/>
  <c r="K108" i="17"/>
  <c r="I92" i="17"/>
  <c r="K92" i="17" s="1"/>
  <c r="M326" i="17"/>
  <c r="P326" i="17" s="1"/>
  <c r="M323" i="17"/>
  <c r="P323" i="17" s="1"/>
  <c r="L322" i="17"/>
  <c r="M288" i="17"/>
  <c r="P288" i="17" s="1"/>
  <c r="M179" i="17"/>
  <c r="P179" i="17" s="1"/>
  <c r="M175" i="17"/>
  <c r="M173" i="17" s="1"/>
  <c r="M163" i="17"/>
  <c r="P163" i="17" s="1"/>
  <c r="M159" i="17"/>
  <c r="P159" i="17" s="1"/>
  <c r="O147" i="17"/>
  <c r="L145" i="17"/>
  <c r="O145" i="17" s="1"/>
  <c r="P142" i="17"/>
  <c r="P140" i="17"/>
  <c r="P126" i="17"/>
  <c r="P67" i="17"/>
  <c r="M65" i="17"/>
  <c r="P65" i="17" s="1"/>
  <c r="O60" i="17"/>
  <c r="O19" i="17"/>
  <c r="L285" i="17"/>
  <c r="O285" i="17" s="1"/>
  <c r="N175" i="17"/>
  <c r="N173" i="17" s="1"/>
  <c r="P19" i="17"/>
  <c r="O361" i="17"/>
  <c r="O338" i="17"/>
  <c r="L326" i="17"/>
  <c r="O326" i="17" s="1"/>
  <c r="L323" i="17"/>
  <c r="O323" i="17" s="1"/>
  <c r="P321" i="17"/>
  <c r="M305" i="17"/>
  <c r="I302" i="17"/>
  <c r="K302" i="17" s="1"/>
  <c r="K293" i="17"/>
  <c r="L288" i="17"/>
  <c r="O288" i="17" s="1"/>
  <c r="N284" i="17"/>
  <c r="N282" i="17" s="1"/>
  <c r="M268" i="17"/>
  <c r="P268" i="17" s="1"/>
  <c r="K249" i="17"/>
  <c r="I242" i="17"/>
  <c r="L179" i="17"/>
  <c r="O179" i="17" s="1"/>
  <c r="O181" i="17"/>
  <c r="P178" i="17"/>
  <c r="L175" i="17"/>
  <c r="L163" i="17"/>
  <c r="O163" i="17" s="1"/>
  <c r="O165" i="17"/>
  <c r="P162" i="17"/>
  <c r="L159" i="17"/>
  <c r="K153" i="17"/>
  <c r="M379" i="17"/>
  <c r="N358" i="17"/>
  <c r="N356" i="17" s="1"/>
  <c r="N335" i="17"/>
  <c r="N333" i="17" s="1"/>
  <c r="P325" i="17"/>
  <c r="P304" i="17"/>
  <c r="M284" i="17"/>
  <c r="P284" i="17" s="1"/>
  <c r="P267" i="17"/>
  <c r="P191" i="17"/>
  <c r="M188" i="17"/>
  <c r="O174" i="17"/>
  <c r="O158" i="17"/>
  <c r="O144" i="17"/>
  <c r="L142" i="17"/>
  <c r="O142" i="17" s="1"/>
  <c r="N141" i="17"/>
  <c r="N139" i="17" s="1"/>
  <c r="P64" i="17"/>
  <c r="M62" i="17"/>
  <c r="M61" i="17"/>
  <c r="N26" i="17"/>
  <c r="N24" i="17" s="1"/>
  <c r="L26" i="17"/>
  <c r="P306" i="16"/>
  <c r="L379" i="17"/>
  <c r="O379" i="17" s="1"/>
  <c r="M358" i="17"/>
  <c r="M335" i="17"/>
  <c r="M333" i="17" s="1"/>
  <c r="O304" i="17"/>
  <c r="L284" i="17"/>
  <c r="O267" i="17"/>
  <c r="L234" i="17"/>
  <c r="I202" i="17"/>
  <c r="K202" i="17" s="1"/>
  <c r="K209" i="17"/>
  <c r="I195" i="17"/>
  <c r="K195" i="17" s="1"/>
  <c r="L141" i="17"/>
  <c r="N127" i="17"/>
  <c r="N125" i="17" s="1"/>
  <c r="M26" i="17"/>
  <c r="P26" i="17" s="1"/>
  <c r="P47" i="17"/>
  <c r="K183" i="16"/>
  <c r="O133" i="16"/>
  <c r="O49" i="16"/>
  <c r="P283" i="17"/>
  <c r="K260" i="17"/>
  <c r="P194" i="17"/>
  <c r="O187" i="17"/>
  <c r="L176" i="17"/>
  <c r="O176" i="17" s="1"/>
  <c r="O178" i="17"/>
  <c r="P174" i="17"/>
  <c r="L160" i="17"/>
  <c r="O160" i="17" s="1"/>
  <c r="O162" i="17"/>
  <c r="P158" i="17"/>
  <c r="O75" i="17"/>
  <c r="O47" i="17"/>
  <c r="N19" i="17"/>
  <c r="I169" i="17"/>
  <c r="K169" i="17" s="1"/>
  <c r="P102" i="17"/>
  <c r="P99" i="17"/>
  <c r="O95" i="17"/>
  <c r="O80" i="17"/>
  <c r="O77" i="17"/>
  <c r="O52" i="17"/>
  <c r="O49" i="17"/>
  <c r="P25" i="17"/>
  <c r="N23" i="17"/>
  <c r="L127" i="17"/>
  <c r="N74" i="17"/>
  <c r="N46" i="17"/>
  <c r="N44" i="17" s="1"/>
  <c r="M23" i="17"/>
  <c r="L131" i="17"/>
  <c r="O131" i="17" s="1"/>
  <c r="L128" i="17"/>
  <c r="O128" i="17" s="1"/>
  <c r="N50" i="17"/>
  <c r="M46" i="17"/>
  <c r="L23" i="17"/>
  <c r="L21" i="17" s="1"/>
  <c r="M96" i="17"/>
  <c r="L74" i="17"/>
  <c r="M50" i="17"/>
  <c r="P50" i="17" s="1"/>
  <c r="L46" i="17"/>
  <c r="O22" i="17"/>
  <c r="K330" i="16"/>
  <c r="P178" i="16"/>
  <c r="P290" i="16"/>
  <c r="M339" i="16"/>
  <c r="P339" i="16" s="1"/>
  <c r="M272" i="16"/>
  <c r="P272" i="16" s="1"/>
  <c r="I238" i="16"/>
  <c r="K238" i="16" s="1"/>
  <c r="M127" i="16"/>
  <c r="P127" i="16" s="1"/>
  <c r="O361" i="16"/>
  <c r="P311" i="16"/>
  <c r="M305" i="16"/>
  <c r="M303" i="16" s="1"/>
  <c r="O290" i="16"/>
  <c r="L214" i="16"/>
  <c r="O214" i="16" s="1"/>
  <c r="P165" i="16"/>
  <c r="P80" i="16"/>
  <c r="N46" i="16"/>
  <c r="N44" i="16" s="1"/>
  <c r="P165" i="15"/>
  <c r="P385" i="16"/>
  <c r="P328" i="16"/>
  <c r="P102" i="16"/>
  <c r="L100" i="16"/>
  <c r="O100" i="16" s="1"/>
  <c r="M65" i="16"/>
  <c r="P65" i="16" s="1"/>
  <c r="I93" i="16"/>
  <c r="K93" i="16" s="1"/>
  <c r="O147" i="16"/>
  <c r="N74" i="16"/>
  <c r="N72" i="16" s="1"/>
  <c r="L236" i="16"/>
  <c r="L222" i="16"/>
  <c r="O222" i="16" s="1"/>
  <c r="L127" i="16"/>
  <c r="O127" i="16" s="1"/>
  <c r="P64" i="16"/>
  <c r="P176" i="15"/>
  <c r="M379" i="16"/>
  <c r="M377" i="16" s="1"/>
  <c r="P377" i="16" s="1"/>
  <c r="J351" i="16"/>
  <c r="K346" i="16"/>
  <c r="M335" i="16"/>
  <c r="M333" i="16" s="1"/>
  <c r="N188" i="16"/>
  <c r="N186" i="16" s="1"/>
  <c r="O181" i="16"/>
  <c r="K368" i="16"/>
  <c r="L61" i="16"/>
  <c r="L59" i="16" s="1"/>
  <c r="N61" i="15"/>
  <c r="N59" i="15" s="1"/>
  <c r="K344" i="16"/>
  <c r="O306" i="16"/>
  <c r="J231" i="16"/>
  <c r="J185" i="16" s="1"/>
  <c r="L203" i="16"/>
  <c r="O203" i="16" s="1"/>
  <c r="K198" i="16"/>
  <c r="M192" i="16"/>
  <c r="P192" i="16" s="1"/>
  <c r="N189" i="16"/>
  <c r="P189" i="16" s="1"/>
  <c r="O178" i="16"/>
  <c r="M141" i="16"/>
  <c r="O144" i="16"/>
  <c r="N141" i="16"/>
  <c r="N139" i="16" s="1"/>
  <c r="L128" i="16"/>
  <c r="O128" i="16" s="1"/>
  <c r="P99" i="16"/>
  <c r="P77" i="16"/>
  <c r="N284" i="16"/>
  <c r="N282" i="16" s="1"/>
  <c r="K195" i="16"/>
  <c r="N175" i="16"/>
  <c r="N173" i="16" s="1"/>
  <c r="P162" i="16"/>
  <c r="N127" i="16"/>
  <c r="N125" i="16" s="1"/>
  <c r="I82" i="16"/>
  <c r="K82" i="16" s="1"/>
  <c r="O77" i="16"/>
  <c r="N23" i="16"/>
  <c r="N21" i="16" s="1"/>
  <c r="N268" i="16"/>
  <c r="N266" i="16" s="1"/>
  <c r="L254" i="16"/>
  <c r="O254" i="16" s="1"/>
  <c r="N47" i="16"/>
  <c r="P47" i="16" s="1"/>
  <c r="L379" i="16"/>
  <c r="O379" i="16" s="1"/>
  <c r="N358" i="16"/>
  <c r="N356" i="16" s="1"/>
  <c r="L358" i="16"/>
  <c r="L356" i="16" s="1"/>
  <c r="J332" i="16"/>
  <c r="M336" i="16"/>
  <c r="P336" i="16" s="1"/>
  <c r="K280" i="16"/>
  <c r="M284" i="16"/>
  <c r="M282" i="16" s="1"/>
  <c r="L234" i="16"/>
  <c r="P191" i="16"/>
  <c r="P176" i="16"/>
  <c r="O162" i="16"/>
  <c r="L141" i="16"/>
  <c r="L139" i="16" s="1"/>
  <c r="O52" i="16"/>
  <c r="K371" i="16"/>
  <c r="P49" i="14"/>
  <c r="K369" i="16"/>
  <c r="M358" i="16"/>
  <c r="M356" i="16" s="1"/>
  <c r="N322" i="16"/>
  <c r="N320" i="16" s="1"/>
  <c r="K314" i="16"/>
  <c r="K292" i="16"/>
  <c r="P181" i="16"/>
  <c r="O176" i="16"/>
  <c r="N159" i="16"/>
  <c r="N157" i="16" s="1"/>
  <c r="K136" i="16"/>
  <c r="L96" i="16"/>
  <c r="L94" i="16" s="1"/>
  <c r="O94" i="16" s="1"/>
  <c r="N61" i="16"/>
  <c r="N59" i="16" s="1"/>
  <c r="M62" i="16"/>
  <c r="P62" i="16" s="1"/>
  <c r="P49" i="16"/>
  <c r="L19" i="16"/>
  <c r="M141" i="15"/>
  <c r="P141" i="15" s="1"/>
  <c r="L383" i="16"/>
  <c r="O383" i="16" s="1"/>
  <c r="L380" i="16"/>
  <c r="O380" i="16" s="1"/>
  <c r="M362" i="16"/>
  <c r="P362" i="16" s="1"/>
  <c r="M359" i="16"/>
  <c r="P359" i="16" s="1"/>
  <c r="J343" i="16"/>
  <c r="P338" i="16"/>
  <c r="L323" i="16"/>
  <c r="O323" i="16" s="1"/>
  <c r="P308" i="16"/>
  <c r="K293" i="16"/>
  <c r="M285" i="16"/>
  <c r="P285" i="16" s="1"/>
  <c r="O267" i="16"/>
  <c r="N232" i="16"/>
  <c r="J351" i="15"/>
  <c r="L235" i="15"/>
  <c r="I365" i="16"/>
  <c r="K365" i="16" s="1"/>
  <c r="L362" i="16"/>
  <c r="O362" i="16" s="1"/>
  <c r="L359" i="16"/>
  <c r="O359" i="16" s="1"/>
  <c r="O338" i="16"/>
  <c r="N335" i="16"/>
  <c r="O308" i="16"/>
  <c r="N305" i="16"/>
  <c r="O285" i="16"/>
  <c r="M269" i="16"/>
  <c r="P269" i="16" s="1"/>
  <c r="I253" i="16"/>
  <c r="K253" i="16" s="1"/>
  <c r="K260" i="16"/>
  <c r="K169" i="16"/>
  <c r="P133" i="16"/>
  <c r="M131" i="16"/>
  <c r="P131" i="16" s="1"/>
  <c r="M26" i="16"/>
  <c r="P26" i="16" s="1"/>
  <c r="O19" i="16"/>
  <c r="N19" i="16"/>
  <c r="O382" i="16"/>
  <c r="P361" i="16"/>
  <c r="O341" i="16"/>
  <c r="L335" i="16"/>
  <c r="I332" i="16"/>
  <c r="L326" i="16"/>
  <c r="O326" i="16" s="1"/>
  <c r="O311" i="16"/>
  <c r="O274" i="16"/>
  <c r="L272" i="16"/>
  <c r="O272" i="16" s="1"/>
  <c r="M268" i="16"/>
  <c r="O187" i="16"/>
  <c r="P147" i="16"/>
  <c r="M145" i="16"/>
  <c r="P145" i="16" s="1"/>
  <c r="P140" i="16"/>
  <c r="P126" i="16"/>
  <c r="N26" i="16"/>
  <c r="O60" i="16"/>
  <c r="M19" i="16"/>
  <c r="P22" i="16"/>
  <c r="O191" i="16"/>
  <c r="L189" i="16"/>
  <c r="P147" i="15"/>
  <c r="N379" i="16"/>
  <c r="N377" i="16" s="1"/>
  <c r="P325" i="16"/>
  <c r="M322" i="16"/>
  <c r="P322" i="16" s="1"/>
  <c r="L305" i="16"/>
  <c r="P287" i="16"/>
  <c r="O271" i="16"/>
  <c r="L269" i="16"/>
  <c r="O269" i="16" s="1"/>
  <c r="L268" i="16"/>
  <c r="O268" i="16" s="1"/>
  <c r="I202" i="16"/>
  <c r="K202" i="16" s="1"/>
  <c r="K209" i="16"/>
  <c r="N142" i="16"/>
  <c r="O142" i="16" s="1"/>
  <c r="K108" i="16"/>
  <c r="I92" i="16"/>
  <c r="K92" i="16" s="1"/>
  <c r="I83" i="16"/>
  <c r="L26" i="16"/>
  <c r="L188" i="16"/>
  <c r="O64" i="16"/>
  <c r="L62" i="16"/>
  <c r="O62" i="16" s="1"/>
  <c r="P341" i="15"/>
  <c r="K153" i="15"/>
  <c r="P144" i="15"/>
  <c r="M142" i="15"/>
  <c r="P142" i="15" s="1"/>
  <c r="P130" i="15"/>
  <c r="L322" i="16"/>
  <c r="O322" i="16" s="1"/>
  <c r="O287" i="16"/>
  <c r="L284" i="16"/>
  <c r="L243" i="16"/>
  <c r="L233" i="16"/>
  <c r="I213" i="16"/>
  <c r="K213" i="16" s="1"/>
  <c r="O194" i="16"/>
  <c r="L192" i="16"/>
  <c r="O192" i="16" s="1"/>
  <c r="M188" i="16"/>
  <c r="K154" i="16"/>
  <c r="P144" i="16"/>
  <c r="M142" i="16"/>
  <c r="P130" i="16"/>
  <c r="M128" i="16"/>
  <c r="P128" i="16" s="1"/>
  <c r="O67" i="16"/>
  <c r="L65" i="16"/>
  <c r="O65" i="16" s="1"/>
  <c r="M61" i="16"/>
  <c r="K249" i="16"/>
  <c r="I242" i="16"/>
  <c r="K153" i="16"/>
  <c r="O99" i="16"/>
  <c r="K85" i="16"/>
  <c r="O25" i="16"/>
  <c r="M23" i="16"/>
  <c r="M21" i="16" s="1"/>
  <c r="M175" i="16"/>
  <c r="M159" i="16"/>
  <c r="N96" i="16"/>
  <c r="N94" i="16" s="1"/>
  <c r="M74" i="16"/>
  <c r="M46" i="16"/>
  <c r="L23" i="16"/>
  <c r="L175" i="16"/>
  <c r="L159" i="16"/>
  <c r="O159" i="16" s="1"/>
  <c r="M96" i="16"/>
  <c r="P96" i="16" s="1"/>
  <c r="L74" i="16"/>
  <c r="O74" i="16" s="1"/>
  <c r="M50" i="16"/>
  <c r="P50" i="16" s="1"/>
  <c r="L46" i="16"/>
  <c r="K371" i="15"/>
  <c r="K368" i="15"/>
  <c r="K152" i="15"/>
  <c r="O271" i="15"/>
  <c r="M159" i="15"/>
  <c r="P159" i="15" s="1"/>
  <c r="P359" i="15"/>
  <c r="O308" i="15"/>
  <c r="K280" i="15"/>
  <c r="P385" i="15"/>
  <c r="M268" i="15"/>
  <c r="P268" i="15" s="1"/>
  <c r="I168" i="15"/>
  <c r="K168" i="15" s="1"/>
  <c r="O341" i="15"/>
  <c r="P308" i="15"/>
  <c r="P285" i="15"/>
  <c r="K249" i="15"/>
  <c r="L192" i="15"/>
  <c r="O192" i="15" s="1"/>
  <c r="K167" i="15"/>
  <c r="O160" i="15"/>
  <c r="L100" i="15"/>
  <c r="O100" i="15" s="1"/>
  <c r="O287" i="15"/>
  <c r="I213" i="15"/>
  <c r="K213" i="15" s="1"/>
  <c r="P181" i="15"/>
  <c r="P80" i="15"/>
  <c r="K220" i="14"/>
  <c r="O67" i="14"/>
  <c r="O385" i="15"/>
  <c r="I365" i="15"/>
  <c r="K365" i="15" s="1"/>
  <c r="K346" i="15"/>
  <c r="L236" i="15"/>
  <c r="I83" i="15"/>
  <c r="I71" i="15" s="1"/>
  <c r="K71" i="15" s="1"/>
  <c r="N379" i="15"/>
  <c r="N377" i="15" s="1"/>
  <c r="L188" i="15"/>
  <c r="P162" i="15"/>
  <c r="M160" i="15"/>
  <c r="P160" i="15" s="1"/>
  <c r="L96" i="15"/>
  <c r="O96" i="15" s="1"/>
  <c r="N268" i="15"/>
  <c r="N266" i="15" s="1"/>
  <c r="N188" i="14"/>
  <c r="N186" i="14" s="1"/>
  <c r="L358" i="15"/>
  <c r="L356" i="15" s="1"/>
  <c r="L222" i="15"/>
  <c r="O222" i="15" s="1"/>
  <c r="K369" i="13"/>
  <c r="O189" i="14"/>
  <c r="P382" i="15"/>
  <c r="K369" i="15"/>
  <c r="P364" i="15"/>
  <c r="K344" i="15"/>
  <c r="P338" i="15"/>
  <c r="L203" i="15"/>
  <c r="O203" i="15" s="1"/>
  <c r="P178" i="15"/>
  <c r="K154" i="15"/>
  <c r="M127" i="15"/>
  <c r="P127" i="15" s="1"/>
  <c r="I82" i="15"/>
  <c r="K82" i="15" s="1"/>
  <c r="P77" i="15"/>
  <c r="L61" i="15"/>
  <c r="O382" i="15"/>
  <c r="N380" i="15"/>
  <c r="O364" i="15"/>
  <c r="J332" i="15"/>
  <c r="K332" i="15" s="1"/>
  <c r="K330" i="15"/>
  <c r="P311" i="15"/>
  <c r="K292" i="15"/>
  <c r="L268" i="15"/>
  <c r="O268" i="15" s="1"/>
  <c r="L214" i="15"/>
  <c r="O214" i="15" s="1"/>
  <c r="O67" i="15"/>
  <c r="L236" i="14"/>
  <c r="P361" i="15"/>
  <c r="L359" i="15"/>
  <c r="O359" i="15" s="1"/>
  <c r="O311" i="15"/>
  <c r="L305" i="15"/>
  <c r="O305" i="15" s="1"/>
  <c r="P287" i="15"/>
  <c r="O274" i="15"/>
  <c r="L254" i="15"/>
  <c r="O254" i="15" s="1"/>
  <c r="O191" i="15"/>
  <c r="M175" i="15"/>
  <c r="M173" i="15" s="1"/>
  <c r="O99" i="15"/>
  <c r="M74" i="15"/>
  <c r="P74" i="15" s="1"/>
  <c r="L19" i="15"/>
  <c r="P382" i="14"/>
  <c r="J343" i="15"/>
  <c r="L335" i="15"/>
  <c r="L333" i="15" s="1"/>
  <c r="N322" i="15"/>
  <c r="N320" i="15" s="1"/>
  <c r="N305" i="15"/>
  <c r="N303" i="15" s="1"/>
  <c r="N232" i="15"/>
  <c r="N188" i="15"/>
  <c r="N186" i="15" s="1"/>
  <c r="L189" i="15"/>
  <c r="O189" i="15" s="1"/>
  <c r="K183" i="15"/>
  <c r="O176" i="15"/>
  <c r="K156" i="15"/>
  <c r="P133" i="15"/>
  <c r="N96" i="15"/>
  <c r="N94" i="15" s="1"/>
  <c r="L97" i="15"/>
  <c r="O97" i="15" s="1"/>
  <c r="I93" i="15"/>
  <c r="K93" i="15" s="1"/>
  <c r="K85" i="15"/>
  <c r="O64" i="15"/>
  <c r="N62" i="15"/>
  <c r="O62" i="15" s="1"/>
  <c r="P49" i="15"/>
  <c r="M19" i="15"/>
  <c r="O336" i="15"/>
  <c r="P336" i="15"/>
  <c r="I253" i="15"/>
  <c r="K260" i="15"/>
  <c r="K108" i="15"/>
  <c r="I92" i="15"/>
  <c r="K92" i="15" s="1"/>
  <c r="P19" i="15"/>
  <c r="M326" i="15"/>
  <c r="P326" i="15" s="1"/>
  <c r="M323" i="15"/>
  <c r="P323" i="15" s="1"/>
  <c r="L322" i="15"/>
  <c r="M288" i="15"/>
  <c r="P288" i="15" s="1"/>
  <c r="P274" i="15"/>
  <c r="M272" i="15"/>
  <c r="P272" i="15" s="1"/>
  <c r="I238" i="15"/>
  <c r="K238" i="15" s="1"/>
  <c r="I202" i="15"/>
  <c r="K202" i="15" s="1"/>
  <c r="K209" i="15"/>
  <c r="P194" i="15"/>
  <c r="M192" i="15"/>
  <c r="P192" i="15" s="1"/>
  <c r="O187" i="15"/>
  <c r="N141" i="15"/>
  <c r="N139" i="15" s="1"/>
  <c r="P126" i="15"/>
  <c r="P67" i="15"/>
  <c r="M65" i="15"/>
  <c r="P65" i="15" s="1"/>
  <c r="O60" i="15"/>
  <c r="O19" i="15"/>
  <c r="L285" i="15"/>
  <c r="O285" i="15" s="1"/>
  <c r="O361" i="15"/>
  <c r="O338" i="15"/>
  <c r="L326" i="15"/>
  <c r="O326" i="15" s="1"/>
  <c r="L323" i="15"/>
  <c r="O323" i="15" s="1"/>
  <c r="P321" i="15"/>
  <c r="M305" i="15"/>
  <c r="P305" i="15" s="1"/>
  <c r="I302" i="15"/>
  <c r="K302" i="15" s="1"/>
  <c r="K293" i="15"/>
  <c r="L288" i="15"/>
  <c r="O288" i="15" s="1"/>
  <c r="N284" i="15"/>
  <c r="N282" i="15" s="1"/>
  <c r="M322" i="15"/>
  <c r="P322" i="15" s="1"/>
  <c r="O274" i="14"/>
  <c r="O271" i="14"/>
  <c r="M379" i="15"/>
  <c r="N358" i="15"/>
  <c r="N356" i="15" s="1"/>
  <c r="N335" i="15"/>
  <c r="N333" i="15" s="1"/>
  <c r="P304" i="15"/>
  <c r="M284" i="15"/>
  <c r="P191" i="15"/>
  <c r="M189" i="15"/>
  <c r="P189" i="15" s="1"/>
  <c r="M188" i="15"/>
  <c r="P64" i="15"/>
  <c r="M62" i="15"/>
  <c r="M61" i="15"/>
  <c r="N26" i="15"/>
  <c r="N24" i="15" s="1"/>
  <c r="L26" i="15"/>
  <c r="L379" i="15"/>
  <c r="O379" i="15" s="1"/>
  <c r="M358" i="15"/>
  <c r="M335" i="15"/>
  <c r="O304" i="15"/>
  <c r="L284" i="15"/>
  <c r="P271" i="15"/>
  <c r="M269" i="15"/>
  <c r="P269" i="15" s="1"/>
  <c r="O267" i="15"/>
  <c r="L234" i="15"/>
  <c r="L243" i="15"/>
  <c r="P140" i="15"/>
  <c r="N127" i="15"/>
  <c r="N125" i="15" s="1"/>
  <c r="M26" i="15"/>
  <c r="P26" i="15" s="1"/>
  <c r="P47" i="15"/>
  <c r="M74" i="14"/>
  <c r="M72" i="14" s="1"/>
  <c r="P283" i="15"/>
  <c r="L233" i="15"/>
  <c r="O47" i="15"/>
  <c r="N19" i="15"/>
  <c r="K230" i="15"/>
  <c r="K198" i="15"/>
  <c r="O181" i="15"/>
  <c r="O178" i="15"/>
  <c r="I169" i="15"/>
  <c r="K169" i="15" s="1"/>
  <c r="O165" i="15"/>
  <c r="O162" i="15"/>
  <c r="P102" i="15"/>
  <c r="P99" i="15"/>
  <c r="O95" i="15"/>
  <c r="O80" i="15"/>
  <c r="O77" i="15"/>
  <c r="O52" i="15"/>
  <c r="O49" i="15"/>
  <c r="P25" i="15"/>
  <c r="N23" i="15"/>
  <c r="N175" i="15"/>
  <c r="N173" i="15" s="1"/>
  <c r="N159" i="15"/>
  <c r="N157" i="15" s="1"/>
  <c r="L141" i="15"/>
  <c r="L127" i="15"/>
  <c r="N74" i="15"/>
  <c r="N72" i="15" s="1"/>
  <c r="N46" i="15"/>
  <c r="N44" i="15" s="1"/>
  <c r="M23" i="15"/>
  <c r="K229" i="15"/>
  <c r="L145" i="15"/>
  <c r="O145" i="15" s="1"/>
  <c r="L142" i="15"/>
  <c r="O142" i="15" s="1"/>
  <c r="L131" i="15"/>
  <c r="O131" i="15" s="1"/>
  <c r="L128" i="15"/>
  <c r="O128" i="15" s="1"/>
  <c r="N50" i="15"/>
  <c r="M46" i="15"/>
  <c r="L23" i="15"/>
  <c r="L21" i="15" s="1"/>
  <c r="L175" i="15"/>
  <c r="L159" i="15"/>
  <c r="M96" i="15"/>
  <c r="L74" i="15"/>
  <c r="M50" i="15"/>
  <c r="P50" i="15" s="1"/>
  <c r="L46" i="15"/>
  <c r="O22" i="15"/>
  <c r="K369" i="14"/>
  <c r="I238" i="10"/>
  <c r="K238" i="10" s="1"/>
  <c r="O191" i="14"/>
  <c r="O364" i="10"/>
  <c r="K346" i="14"/>
  <c r="O328" i="14"/>
  <c r="K154" i="14"/>
  <c r="P176" i="14"/>
  <c r="P133" i="14"/>
  <c r="M96" i="14"/>
  <c r="M94" i="14" s="1"/>
  <c r="P67" i="14"/>
  <c r="O144" i="13"/>
  <c r="P385" i="14"/>
  <c r="P189" i="14"/>
  <c r="O178" i="14"/>
  <c r="K109" i="14"/>
  <c r="L96" i="14"/>
  <c r="L94" i="14" s="1"/>
  <c r="L46" i="14"/>
  <c r="L358" i="14"/>
  <c r="L356" i="14" s="1"/>
  <c r="N379" i="14"/>
  <c r="N377" i="14" s="1"/>
  <c r="K365" i="14"/>
  <c r="P336" i="14"/>
  <c r="N322" i="14"/>
  <c r="N320" i="14" s="1"/>
  <c r="L235" i="14"/>
  <c r="P147" i="14"/>
  <c r="K209" i="14"/>
  <c r="O102" i="14"/>
  <c r="L61" i="14"/>
  <c r="L59" i="14" s="1"/>
  <c r="L362" i="14"/>
  <c r="O362" i="14" s="1"/>
  <c r="O311" i="14"/>
  <c r="O308" i="14"/>
  <c r="P191" i="14"/>
  <c r="M141" i="14"/>
  <c r="J332" i="14"/>
  <c r="K332" i="14" s="1"/>
  <c r="L335" i="14"/>
  <c r="L333" i="14" s="1"/>
  <c r="I319" i="14"/>
  <c r="K319" i="14" s="1"/>
  <c r="L222" i="14"/>
  <c r="O222" i="14" s="1"/>
  <c r="L358" i="10"/>
  <c r="L356" i="10" s="1"/>
  <c r="O325" i="14"/>
  <c r="N323" i="14"/>
  <c r="L305" i="14"/>
  <c r="O305" i="14" s="1"/>
  <c r="N26" i="14"/>
  <c r="N24" i="14" s="1"/>
  <c r="L268" i="14"/>
  <c r="O268" i="14" s="1"/>
  <c r="J231" i="14"/>
  <c r="J185" i="14" s="1"/>
  <c r="L243" i="14"/>
  <c r="O243" i="14" s="1"/>
  <c r="K229" i="14"/>
  <c r="K153" i="14"/>
  <c r="P130" i="14"/>
  <c r="O99" i="14"/>
  <c r="L97" i="14"/>
  <c r="P77" i="14"/>
  <c r="J343" i="14"/>
  <c r="N305" i="14"/>
  <c r="N303" i="14" s="1"/>
  <c r="O287" i="14"/>
  <c r="N268" i="14"/>
  <c r="N266" i="14" s="1"/>
  <c r="L203" i="14"/>
  <c r="O203" i="14" s="1"/>
  <c r="O194" i="14"/>
  <c r="I137" i="14"/>
  <c r="K137" i="14" s="1"/>
  <c r="K108" i="14"/>
  <c r="N96" i="14"/>
  <c r="N94" i="14" s="1"/>
  <c r="I83" i="14"/>
  <c r="I71" i="14" s="1"/>
  <c r="K71" i="14" s="1"/>
  <c r="O64" i="14"/>
  <c r="N358" i="14"/>
  <c r="N356" i="14" s="1"/>
  <c r="L359" i="14"/>
  <c r="O359" i="14" s="1"/>
  <c r="L339" i="14"/>
  <c r="O339" i="14" s="1"/>
  <c r="P308" i="14"/>
  <c r="O304" i="14"/>
  <c r="P271" i="14"/>
  <c r="O267" i="14"/>
  <c r="N192" i="14"/>
  <c r="L188" i="14"/>
  <c r="L26" i="14"/>
  <c r="L24" i="14" s="1"/>
  <c r="O24" i="14" s="1"/>
  <c r="M127" i="14"/>
  <c r="N61" i="14"/>
  <c r="L62" i="14"/>
  <c r="O62" i="14" s="1"/>
  <c r="N46" i="14"/>
  <c r="N44" i="14" s="1"/>
  <c r="L19" i="14"/>
  <c r="O19" i="14" s="1"/>
  <c r="M379" i="14"/>
  <c r="P379" i="14" s="1"/>
  <c r="K368" i="14"/>
  <c r="P359" i="14"/>
  <c r="J351" i="14"/>
  <c r="N335" i="14"/>
  <c r="N333" i="14" s="1"/>
  <c r="L336" i="14"/>
  <c r="O336" i="14" s="1"/>
  <c r="L254" i="14"/>
  <c r="O254" i="14" s="1"/>
  <c r="I238" i="14"/>
  <c r="K238" i="14" s="1"/>
  <c r="L214" i="14"/>
  <c r="O214" i="14" s="1"/>
  <c r="K172" i="14"/>
  <c r="I168" i="14"/>
  <c r="K168" i="14" s="1"/>
  <c r="N159" i="14"/>
  <c r="N157" i="14" s="1"/>
  <c r="P144" i="14"/>
  <c r="M142" i="14"/>
  <c r="P142" i="14" s="1"/>
  <c r="L127" i="14"/>
  <c r="L125" i="14" s="1"/>
  <c r="O125" i="14" s="1"/>
  <c r="P62" i="14"/>
  <c r="M46" i="14"/>
  <c r="P46" i="14" s="1"/>
  <c r="M19" i="14"/>
  <c r="P19" i="14" s="1"/>
  <c r="P285" i="14"/>
  <c r="N288" i="14"/>
  <c r="O385" i="14"/>
  <c r="O382" i="14"/>
  <c r="P364" i="14"/>
  <c r="P361" i="14"/>
  <c r="O357" i="14"/>
  <c r="P341" i="14"/>
  <c r="P338" i="14"/>
  <c r="O334" i="14"/>
  <c r="M326" i="14"/>
  <c r="P326" i="14" s="1"/>
  <c r="M323" i="14"/>
  <c r="P323" i="14" s="1"/>
  <c r="L322" i="14"/>
  <c r="P311" i="14"/>
  <c r="M288" i="14"/>
  <c r="P288" i="14" s="1"/>
  <c r="P274" i="14"/>
  <c r="L233" i="14"/>
  <c r="P194" i="14"/>
  <c r="M179" i="14"/>
  <c r="P179" i="14" s="1"/>
  <c r="L163" i="14"/>
  <c r="O163" i="14" s="1"/>
  <c r="L131" i="14"/>
  <c r="O131" i="14" s="1"/>
  <c r="M75" i="14"/>
  <c r="P75" i="14" s="1"/>
  <c r="M322" i="14"/>
  <c r="P322" i="14" s="1"/>
  <c r="O361" i="14"/>
  <c r="O338" i="14"/>
  <c r="P321" i="14"/>
  <c r="M305" i="14"/>
  <c r="P305" i="14" s="1"/>
  <c r="I302" i="14"/>
  <c r="K302" i="14" s="1"/>
  <c r="K293" i="14"/>
  <c r="L288" i="14"/>
  <c r="O288" i="14" s="1"/>
  <c r="N284" i="14"/>
  <c r="N282" i="14" s="1"/>
  <c r="M268" i="14"/>
  <c r="P268" i="14" s="1"/>
  <c r="K249" i="14"/>
  <c r="I242" i="14"/>
  <c r="M188" i="14"/>
  <c r="L179" i="14"/>
  <c r="O179" i="14" s="1"/>
  <c r="N175" i="14"/>
  <c r="N173" i="14" s="1"/>
  <c r="K167" i="14"/>
  <c r="P162" i="14"/>
  <c r="M159" i="14"/>
  <c r="P159" i="14" s="1"/>
  <c r="O144" i="14"/>
  <c r="N141" i="14"/>
  <c r="N139" i="14" s="1"/>
  <c r="M97" i="14"/>
  <c r="P99" i="14"/>
  <c r="N97" i="14"/>
  <c r="I82" i="14"/>
  <c r="P80" i="14"/>
  <c r="L75" i="14"/>
  <c r="O75" i="14" s="1"/>
  <c r="O77" i="14"/>
  <c r="P73" i="14"/>
  <c r="M26" i="14"/>
  <c r="P26" i="14" s="1"/>
  <c r="M50" i="14"/>
  <c r="P50" i="14" s="1"/>
  <c r="O130" i="13"/>
  <c r="K371" i="14"/>
  <c r="K344" i="14"/>
  <c r="P304" i="14"/>
  <c r="K292" i="14"/>
  <c r="P287" i="14"/>
  <c r="M284" i="14"/>
  <c r="M282" i="14" s="1"/>
  <c r="P267" i="14"/>
  <c r="P187" i="14"/>
  <c r="K183" i="14"/>
  <c r="P178" i="14"/>
  <c r="M175" i="14"/>
  <c r="L159" i="14"/>
  <c r="I156" i="14"/>
  <c r="K156" i="14" s="1"/>
  <c r="O147" i="14"/>
  <c r="L141" i="14"/>
  <c r="O130" i="14"/>
  <c r="N127" i="14"/>
  <c r="N125" i="14" s="1"/>
  <c r="N74" i="14"/>
  <c r="N72" i="14" s="1"/>
  <c r="P64" i="14"/>
  <c r="M61" i="14"/>
  <c r="L50" i="14"/>
  <c r="O50" i="14" s="1"/>
  <c r="O52" i="14"/>
  <c r="M23" i="14"/>
  <c r="L285" i="14"/>
  <c r="O285" i="14" s="1"/>
  <c r="I195" i="14"/>
  <c r="K195" i="14" s="1"/>
  <c r="L176" i="14"/>
  <c r="O176" i="14" s="1"/>
  <c r="M163" i="14"/>
  <c r="P163" i="14" s="1"/>
  <c r="L128" i="14"/>
  <c r="O128" i="14" s="1"/>
  <c r="L47" i="14"/>
  <c r="L23" i="14"/>
  <c r="O49" i="14"/>
  <c r="L379" i="14"/>
  <c r="O379" i="14" s="1"/>
  <c r="M358" i="14"/>
  <c r="M335" i="14"/>
  <c r="L284" i="14"/>
  <c r="L234" i="14"/>
  <c r="L175" i="14"/>
  <c r="M100" i="14"/>
  <c r="P100" i="14" s="1"/>
  <c r="P102" i="14"/>
  <c r="M78" i="14"/>
  <c r="P78" i="14" s="1"/>
  <c r="N47" i="14"/>
  <c r="P47" i="14" s="1"/>
  <c r="N23" i="14"/>
  <c r="P45" i="14"/>
  <c r="N175" i="13"/>
  <c r="N173" i="13" s="1"/>
  <c r="K260" i="14"/>
  <c r="O162" i="14"/>
  <c r="L160" i="14"/>
  <c r="O160" i="14" s="1"/>
  <c r="K85" i="14"/>
  <c r="L78" i="14"/>
  <c r="O78" i="14" s="1"/>
  <c r="O80" i="14"/>
  <c r="L74" i="14"/>
  <c r="N19" i="14"/>
  <c r="P25" i="14"/>
  <c r="O22" i="14"/>
  <c r="P385" i="13"/>
  <c r="P328" i="13"/>
  <c r="N358" i="13"/>
  <c r="N356" i="13" s="1"/>
  <c r="O271" i="13"/>
  <c r="P99" i="13"/>
  <c r="P64" i="13"/>
  <c r="M379" i="13"/>
  <c r="M377" i="13" s="1"/>
  <c r="P377" i="13" s="1"/>
  <c r="M339" i="13"/>
  <c r="P339" i="13" s="1"/>
  <c r="L322" i="13"/>
  <c r="O322" i="13" s="1"/>
  <c r="O308" i="13"/>
  <c r="L214" i="13"/>
  <c r="O214" i="13" s="1"/>
  <c r="K183" i="13"/>
  <c r="I92" i="13"/>
  <c r="K92" i="13" s="1"/>
  <c r="P80" i="13"/>
  <c r="N305" i="13"/>
  <c r="N303" i="13" s="1"/>
  <c r="P338" i="13"/>
  <c r="O176" i="12"/>
  <c r="K365" i="13"/>
  <c r="K368" i="13"/>
  <c r="J351" i="13"/>
  <c r="K346" i="13"/>
  <c r="L235" i="13"/>
  <c r="O382" i="13"/>
  <c r="P271" i="13"/>
  <c r="L100" i="13"/>
  <c r="O100" i="13" s="1"/>
  <c r="O385" i="12"/>
  <c r="M322" i="12"/>
  <c r="P322" i="12" s="1"/>
  <c r="P364" i="13"/>
  <c r="P325" i="13"/>
  <c r="L236" i="13"/>
  <c r="J231" i="13"/>
  <c r="J185" i="13" s="1"/>
  <c r="P178" i="13"/>
  <c r="N176" i="13"/>
  <c r="P176" i="13" s="1"/>
  <c r="N159" i="13"/>
  <c r="N157" i="13" s="1"/>
  <c r="O133" i="13"/>
  <c r="L127" i="13"/>
  <c r="O127" i="13" s="1"/>
  <c r="K109" i="13"/>
  <c r="M96" i="13"/>
  <c r="P96" i="13" s="1"/>
  <c r="I82" i="13"/>
  <c r="P382" i="13"/>
  <c r="P361" i="13"/>
  <c r="N359" i="13"/>
  <c r="O359" i="13" s="1"/>
  <c r="O325" i="13"/>
  <c r="L323" i="13"/>
  <c r="O323" i="13" s="1"/>
  <c r="O311" i="13"/>
  <c r="P287" i="13"/>
  <c r="L222" i="13"/>
  <c r="O222" i="13" s="1"/>
  <c r="K169" i="13"/>
  <c r="P147" i="13"/>
  <c r="L145" i="13"/>
  <c r="O145" i="13" s="1"/>
  <c r="L142" i="13"/>
  <c r="I138" i="13"/>
  <c r="K138" i="13" s="1"/>
  <c r="L96" i="13"/>
  <c r="O96" i="13" s="1"/>
  <c r="O95" i="13"/>
  <c r="O64" i="13"/>
  <c r="L23" i="13"/>
  <c r="L21" i="13" s="1"/>
  <c r="N188" i="13"/>
  <c r="N186" i="13" s="1"/>
  <c r="N306" i="13"/>
  <c r="N284" i="13"/>
  <c r="N282" i="13" s="1"/>
  <c r="O274" i="13"/>
  <c r="K229" i="13"/>
  <c r="K198" i="13"/>
  <c r="P194" i="13"/>
  <c r="N189" i="13"/>
  <c r="P189" i="13" s="1"/>
  <c r="K152" i="13"/>
  <c r="P130" i="13"/>
  <c r="M100" i="13"/>
  <c r="P100" i="13" s="1"/>
  <c r="O285" i="13"/>
  <c r="I202" i="12"/>
  <c r="K202" i="12" s="1"/>
  <c r="O385" i="13"/>
  <c r="J332" i="13"/>
  <c r="O338" i="13"/>
  <c r="M336" i="13"/>
  <c r="P336" i="13" s="1"/>
  <c r="O328" i="13"/>
  <c r="N268" i="13"/>
  <c r="N266" i="13" s="1"/>
  <c r="N232" i="13"/>
  <c r="O191" i="13"/>
  <c r="N160" i="13"/>
  <c r="K154" i="13"/>
  <c r="N74" i="13"/>
  <c r="N72" i="13" s="1"/>
  <c r="N61" i="13"/>
  <c r="N59" i="13" s="1"/>
  <c r="N46" i="13"/>
  <c r="N44" i="13" s="1"/>
  <c r="J343" i="12"/>
  <c r="O67" i="12"/>
  <c r="N379" i="13"/>
  <c r="N377" i="13" s="1"/>
  <c r="O364" i="13"/>
  <c r="O361" i="13"/>
  <c r="O357" i="13"/>
  <c r="J343" i="13"/>
  <c r="I319" i="13"/>
  <c r="K319" i="13" s="1"/>
  <c r="P311" i="13"/>
  <c r="I253" i="13"/>
  <c r="K253" i="13" s="1"/>
  <c r="K260" i="13"/>
  <c r="I238" i="13"/>
  <c r="K238" i="13" s="1"/>
  <c r="I242" i="13"/>
  <c r="K249" i="13"/>
  <c r="I202" i="13"/>
  <c r="K202" i="13" s="1"/>
  <c r="K209" i="13"/>
  <c r="P191" i="13"/>
  <c r="P165" i="13"/>
  <c r="P77" i="13"/>
  <c r="O47" i="13"/>
  <c r="M305" i="13"/>
  <c r="P305" i="13" s="1"/>
  <c r="I280" i="13"/>
  <c r="K280" i="13" s="1"/>
  <c r="K293" i="13"/>
  <c r="I83" i="13"/>
  <c r="K85" i="13"/>
  <c r="M47" i="13"/>
  <c r="P47" i="13" s="1"/>
  <c r="M23" i="13"/>
  <c r="M46" i="13"/>
  <c r="K346" i="12"/>
  <c r="O162" i="12"/>
  <c r="P133" i="12"/>
  <c r="O99" i="12"/>
  <c r="K371" i="13"/>
  <c r="I332" i="13"/>
  <c r="K344" i="13"/>
  <c r="O336" i="13"/>
  <c r="L335" i="13"/>
  <c r="L333" i="13" s="1"/>
  <c r="P290" i="13"/>
  <c r="M268" i="13"/>
  <c r="P268" i="13" s="1"/>
  <c r="P181" i="13"/>
  <c r="P162" i="13"/>
  <c r="P62" i="13"/>
  <c r="M61" i="13"/>
  <c r="N19" i="13"/>
  <c r="L192" i="12"/>
  <c r="O192" i="12" s="1"/>
  <c r="L379" i="13"/>
  <c r="M358" i="13"/>
  <c r="O341" i="13"/>
  <c r="P308" i="13"/>
  <c r="P274" i="13"/>
  <c r="O267" i="13"/>
  <c r="I213" i="13"/>
  <c r="K213" i="13" s="1"/>
  <c r="M188" i="13"/>
  <c r="M74" i="13"/>
  <c r="P74" i="13" s="1"/>
  <c r="L26" i="13"/>
  <c r="O26" i="13" s="1"/>
  <c r="O19" i="13"/>
  <c r="L235" i="12"/>
  <c r="O191" i="12"/>
  <c r="L358" i="13"/>
  <c r="N322" i="13"/>
  <c r="N320" i="13" s="1"/>
  <c r="L234" i="13"/>
  <c r="M159" i="13"/>
  <c r="P159" i="13" s="1"/>
  <c r="P144" i="13"/>
  <c r="N142" i="13"/>
  <c r="N26" i="13"/>
  <c r="N24" i="13" s="1"/>
  <c r="P49" i="13"/>
  <c r="P285" i="13"/>
  <c r="M284" i="13"/>
  <c r="L254" i="13"/>
  <c r="O254" i="13" s="1"/>
  <c r="L243" i="13"/>
  <c r="L203" i="13"/>
  <c r="O203" i="13" s="1"/>
  <c r="M175" i="13"/>
  <c r="N141" i="13"/>
  <c r="N139" i="13" s="1"/>
  <c r="N127" i="13"/>
  <c r="N125" i="13" s="1"/>
  <c r="N96" i="13"/>
  <c r="N94" i="13" s="1"/>
  <c r="P67" i="13"/>
  <c r="M26" i="13"/>
  <c r="M50" i="13"/>
  <c r="P50" i="13" s="1"/>
  <c r="N335" i="13"/>
  <c r="N333" i="13" s="1"/>
  <c r="K314" i="13"/>
  <c r="L305" i="13"/>
  <c r="O305" i="13" s="1"/>
  <c r="O290" i="13"/>
  <c r="O287" i="13"/>
  <c r="L268" i="13"/>
  <c r="O268" i="13" s="1"/>
  <c r="L233" i="13"/>
  <c r="K230" i="13"/>
  <c r="L188" i="13"/>
  <c r="O181" i="13"/>
  <c r="O178" i="13"/>
  <c r="O165" i="13"/>
  <c r="O162" i="13"/>
  <c r="M141" i="13"/>
  <c r="M127" i="13"/>
  <c r="P127" i="13" s="1"/>
  <c r="O80" i="13"/>
  <c r="O77" i="13"/>
  <c r="L61" i="13"/>
  <c r="O52" i="13"/>
  <c r="O49" i="13"/>
  <c r="N23" i="13"/>
  <c r="M335" i="13"/>
  <c r="P304" i="13"/>
  <c r="P267" i="13"/>
  <c r="L192" i="13"/>
  <c r="O192" i="13" s="1"/>
  <c r="L189" i="13"/>
  <c r="L141" i="13"/>
  <c r="M131" i="13"/>
  <c r="P131" i="13" s="1"/>
  <c r="O99" i="13"/>
  <c r="L65" i="13"/>
  <c r="O65" i="13" s="1"/>
  <c r="L62" i="13"/>
  <c r="O62" i="13" s="1"/>
  <c r="M322" i="13"/>
  <c r="P322" i="13" s="1"/>
  <c r="K292" i="13"/>
  <c r="L284" i="13"/>
  <c r="L175" i="13"/>
  <c r="L159" i="13"/>
  <c r="O159" i="13" s="1"/>
  <c r="K84" i="13"/>
  <c r="L74" i="13"/>
  <c r="O74" i="13" s="1"/>
  <c r="L46" i="13"/>
  <c r="P22" i="13"/>
  <c r="O22" i="13"/>
  <c r="I213" i="12"/>
  <c r="K213" i="12" s="1"/>
  <c r="O64" i="12"/>
  <c r="P341" i="12"/>
  <c r="N335" i="12"/>
  <c r="N333" i="12" s="1"/>
  <c r="O311" i="12"/>
  <c r="M379" i="12"/>
  <c r="M377" i="12" s="1"/>
  <c r="P377" i="12" s="1"/>
  <c r="P364" i="12"/>
  <c r="N268" i="12"/>
  <c r="N266" i="12" s="1"/>
  <c r="P144" i="12"/>
  <c r="M309" i="12"/>
  <c r="P309" i="12" s="1"/>
  <c r="P311" i="12"/>
  <c r="I137" i="12"/>
  <c r="K137" i="12" s="1"/>
  <c r="L269" i="12"/>
  <c r="O269" i="12" s="1"/>
  <c r="O271" i="12"/>
  <c r="M145" i="12"/>
  <c r="P145" i="12" s="1"/>
  <c r="P147" i="12"/>
  <c r="M192" i="12"/>
  <c r="P192" i="12" s="1"/>
  <c r="P194" i="12"/>
  <c r="K369" i="12"/>
  <c r="N358" i="12"/>
  <c r="N356" i="12" s="1"/>
  <c r="L305" i="12"/>
  <c r="O305" i="12" s="1"/>
  <c r="N96" i="12"/>
  <c r="N94" i="12" s="1"/>
  <c r="O191" i="11"/>
  <c r="O64" i="11"/>
  <c r="L335" i="12"/>
  <c r="L333" i="12" s="1"/>
  <c r="P274" i="12"/>
  <c r="L272" i="12"/>
  <c r="O272" i="12" s="1"/>
  <c r="I168" i="12"/>
  <c r="K168" i="12" s="1"/>
  <c r="N159" i="12"/>
  <c r="N157" i="12" s="1"/>
  <c r="K154" i="12"/>
  <c r="K109" i="12"/>
  <c r="P385" i="12"/>
  <c r="K229" i="12"/>
  <c r="K153" i="12"/>
  <c r="M127" i="12"/>
  <c r="P127" i="12" s="1"/>
  <c r="K108" i="12"/>
  <c r="L46" i="12"/>
  <c r="L44" i="12" s="1"/>
  <c r="I319" i="12"/>
  <c r="K319" i="12" s="1"/>
  <c r="N322" i="12"/>
  <c r="N320" i="12" s="1"/>
  <c r="L203" i="12"/>
  <c r="O203" i="12" s="1"/>
  <c r="N97" i="12"/>
  <c r="N189" i="12"/>
  <c r="P189" i="12" s="1"/>
  <c r="L358" i="12"/>
  <c r="J351" i="12"/>
  <c r="L339" i="12"/>
  <c r="O339" i="12" s="1"/>
  <c r="N305" i="12"/>
  <c r="N303" i="12" s="1"/>
  <c r="L268" i="12"/>
  <c r="O268" i="12" s="1"/>
  <c r="L233" i="12"/>
  <c r="L188" i="12"/>
  <c r="L186" i="12" s="1"/>
  <c r="K172" i="12"/>
  <c r="L145" i="12"/>
  <c r="O145" i="12" s="1"/>
  <c r="M97" i="12"/>
  <c r="P97" i="12" s="1"/>
  <c r="P80" i="12"/>
  <c r="N269" i="12"/>
  <c r="L233" i="10"/>
  <c r="P382" i="12"/>
  <c r="P338" i="12"/>
  <c r="N336" i="12"/>
  <c r="P336" i="12" s="1"/>
  <c r="P308" i="12"/>
  <c r="L214" i="12"/>
  <c r="O214" i="12" s="1"/>
  <c r="N188" i="12"/>
  <c r="N186" i="12" s="1"/>
  <c r="N61" i="12"/>
  <c r="N59" i="12" s="1"/>
  <c r="L335" i="10"/>
  <c r="L333" i="10" s="1"/>
  <c r="J351" i="11"/>
  <c r="O382" i="12"/>
  <c r="L362" i="12"/>
  <c r="O362" i="12" s="1"/>
  <c r="J332" i="12"/>
  <c r="K332" i="12" s="1"/>
  <c r="L336" i="12"/>
  <c r="O308" i="12"/>
  <c r="P271" i="12"/>
  <c r="L254" i="12"/>
  <c r="O254" i="12" s="1"/>
  <c r="P191" i="12"/>
  <c r="M163" i="12"/>
  <c r="P163" i="12" s="1"/>
  <c r="P130" i="12"/>
  <c r="M128" i="12"/>
  <c r="P128" i="12" s="1"/>
  <c r="I83" i="12"/>
  <c r="I71" i="12" s="1"/>
  <c r="K71" i="12" s="1"/>
  <c r="P62" i="12"/>
  <c r="M380" i="12"/>
  <c r="P380" i="12" s="1"/>
  <c r="K371" i="12"/>
  <c r="P361" i="12"/>
  <c r="N359" i="12"/>
  <c r="P359" i="12" s="1"/>
  <c r="K344" i="12"/>
  <c r="O285" i="12"/>
  <c r="L236" i="12"/>
  <c r="L222" i="12"/>
  <c r="O222" i="12" s="1"/>
  <c r="M141" i="12"/>
  <c r="P141" i="12" s="1"/>
  <c r="L100" i="12"/>
  <c r="O100" i="12" s="1"/>
  <c r="L61" i="12"/>
  <c r="L59" i="12" s="1"/>
  <c r="L127" i="12"/>
  <c r="O130" i="12"/>
  <c r="P328" i="12"/>
  <c r="M326" i="12"/>
  <c r="P326" i="12" s="1"/>
  <c r="K368" i="12"/>
  <c r="P285" i="12"/>
  <c r="I238" i="12"/>
  <c r="K238" i="12" s="1"/>
  <c r="I253" i="12"/>
  <c r="K253" i="12" s="1"/>
  <c r="K260" i="12"/>
  <c r="N26" i="12"/>
  <c r="N24" i="12" s="1"/>
  <c r="P325" i="12"/>
  <c r="M323" i="12"/>
  <c r="P323" i="12" s="1"/>
  <c r="P267" i="12"/>
  <c r="O287" i="12"/>
  <c r="L284" i="12"/>
  <c r="P304" i="12"/>
  <c r="L243" i="12"/>
  <c r="L234" i="12"/>
  <c r="P187" i="12"/>
  <c r="P176" i="12"/>
  <c r="L128" i="12"/>
  <c r="O128" i="12" s="1"/>
  <c r="K365" i="12"/>
  <c r="K314" i="12"/>
  <c r="I302" i="12"/>
  <c r="K302" i="12" s="1"/>
  <c r="I195" i="12"/>
  <c r="K195" i="12" s="1"/>
  <c r="O178" i="12"/>
  <c r="L175" i="12"/>
  <c r="M75" i="12"/>
  <c r="P75" i="12" s="1"/>
  <c r="N50" i="12"/>
  <c r="N46" i="12"/>
  <c r="N44" i="12" s="1"/>
  <c r="L322" i="12"/>
  <c r="O322" i="12" s="1"/>
  <c r="M288" i="12"/>
  <c r="P288" i="12" s="1"/>
  <c r="M179" i="12"/>
  <c r="P179" i="12" s="1"/>
  <c r="L163" i="12"/>
  <c r="O163" i="12" s="1"/>
  <c r="L131" i="12"/>
  <c r="O131" i="12" s="1"/>
  <c r="L75" i="12"/>
  <c r="O75" i="12" s="1"/>
  <c r="O77" i="12"/>
  <c r="P73" i="12"/>
  <c r="M26" i="12"/>
  <c r="P26" i="12" s="1"/>
  <c r="M50" i="12"/>
  <c r="P50" i="12" s="1"/>
  <c r="M46" i="12"/>
  <c r="M19" i="12"/>
  <c r="P25" i="12"/>
  <c r="M23" i="12"/>
  <c r="I82" i="12"/>
  <c r="N379" i="12"/>
  <c r="N377" i="12" s="1"/>
  <c r="O361" i="12"/>
  <c r="O338" i="12"/>
  <c r="L326" i="12"/>
  <c r="O326" i="12" s="1"/>
  <c r="L323" i="12"/>
  <c r="O323" i="12" s="1"/>
  <c r="P321" i="12"/>
  <c r="M305" i="12"/>
  <c r="P305" i="12" s="1"/>
  <c r="K293" i="12"/>
  <c r="L288" i="12"/>
  <c r="O288" i="12" s="1"/>
  <c r="N284" i="12"/>
  <c r="N282" i="12" s="1"/>
  <c r="M268" i="12"/>
  <c r="P268" i="12" s="1"/>
  <c r="K249" i="12"/>
  <c r="M188" i="12"/>
  <c r="M186" i="12" s="1"/>
  <c r="L179" i="12"/>
  <c r="O179" i="12" s="1"/>
  <c r="N175" i="12"/>
  <c r="N173" i="12" s="1"/>
  <c r="K167" i="12"/>
  <c r="P162" i="12"/>
  <c r="M159" i="12"/>
  <c r="P159" i="12" s="1"/>
  <c r="O144" i="12"/>
  <c r="N141" i="12"/>
  <c r="N139" i="12" s="1"/>
  <c r="M96" i="12"/>
  <c r="P96" i="12" s="1"/>
  <c r="N74" i="12"/>
  <c r="N72" i="12" s="1"/>
  <c r="P64" i="12"/>
  <c r="M61" i="12"/>
  <c r="L50" i="12"/>
  <c r="O50" i="12" s="1"/>
  <c r="O52" i="12"/>
  <c r="P49" i="12"/>
  <c r="L320" i="12"/>
  <c r="O320" i="12" s="1"/>
  <c r="K292" i="12"/>
  <c r="P287" i="12"/>
  <c r="M284" i="12"/>
  <c r="K183" i="12"/>
  <c r="P178" i="12"/>
  <c r="M175" i="12"/>
  <c r="L159" i="12"/>
  <c r="I156" i="12"/>
  <c r="K156" i="12" s="1"/>
  <c r="L141" i="12"/>
  <c r="N127" i="12"/>
  <c r="N125" i="12" s="1"/>
  <c r="L96" i="12"/>
  <c r="O96" i="12" s="1"/>
  <c r="K85" i="12"/>
  <c r="M74" i="12"/>
  <c r="P74" i="12" s="1"/>
  <c r="N23" i="12"/>
  <c r="N47" i="12"/>
  <c r="P47" i="12" s="1"/>
  <c r="O45" i="12"/>
  <c r="N19" i="12"/>
  <c r="L323" i="10"/>
  <c r="O323" i="10" s="1"/>
  <c r="L379" i="12"/>
  <c r="M358" i="12"/>
  <c r="M335" i="12"/>
  <c r="O304" i="12"/>
  <c r="O267" i="12"/>
  <c r="O187" i="12"/>
  <c r="P158" i="12"/>
  <c r="P95" i="12"/>
  <c r="L78" i="12"/>
  <c r="O78" i="12" s="1"/>
  <c r="O80" i="12"/>
  <c r="L74" i="12"/>
  <c r="P67" i="12"/>
  <c r="O60" i="12"/>
  <c r="L26" i="12"/>
  <c r="N322" i="10"/>
  <c r="N320" i="10" s="1"/>
  <c r="M96" i="11"/>
  <c r="P96" i="11" s="1"/>
  <c r="L160" i="12"/>
  <c r="O160" i="12" s="1"/>
  <c r="M100" i="12"/>
  <c r="P100" i="12" s="1"/>
  <c r="O62" i="12"/>
  <c r="P52" i="12"/>
  <c r="L47" i="12"/>
  <c r="L23" i="12"/>
  <c r="L21" i="12" s="1"/>
  <c r="O49" i="12"/>
  <c r="P45" i="12"/>
  <c r="L19" i="12"/>
  <c r="O22" i="12"/>
  <c r="M322" i="11"/>
  <c r="P322" i="11" s="1"/>
  <c r="O361" i="10"/>
  <c r="L359" i="10"/>
  <c r="O359" i="10" s="1"/>
  <c r="L236" i="11"/>
  <c r="P165" i="11"/>
  <c r="O341" i="11"/>
  <c r="P285" i="11"/>
  <c r="L96" i="11"/>
  <c r="O96" i="11" s="1"/>
  <c r="P336" i="11"/>
  <c r="L309" i="11"/>
  <c r="O309" i="11" s="1"/>
  <c r="K280" i="11"/>
  <c r="O165" i="11"/>
  <c r="I137" i="11"/>
  <c r="K137" i="11" s="1"/>
  <c r="N61" i="11"/>
  <c r="N59" i="11" s="1"/>
  <c r="K346" i="11"/>
  <c r="L214" i="11"/>
  <c r="O214" i="11" s="1"/>
  <c r="K169" i="11"/>
  <c r="O147" i="11"/>
  <c r="P102" i="11"/>
  <c r="L288" i="11"/>
  <c r="O288" i="11" s="1"/>
  <c r="L192" i="11"/>
  <c r="O192" i="11" s="1"/>
  <c r="P176" i="11"/>
  <c r="L100" i="11"/>
  <c r="O100" i="11" s="1"/>
  <c r="P80" i="11"/>
  <c r="L159" i="11"/>
  <c r="O159" i="11" s="1"/>
  <c r="L141" i="11"/>
  <c r="L139" i="11" s="1"/>
  <c r="O80" i="11"/>
  <c r="L46" i="11"/>
  <c r="L44" i="11" s="1"/>
  <c r="O364" i="11"/>
  <c r="O361" i="11"/>
  <c r="K344" i="11"/>
  <c r="L335" i="11"/>
  <c r="L333" i="11" s="1"/>
  <c r="M326" i="11"/>
  <c r="P326" i="11" s="1"/>
  <c r="M323" i="11"/>
  <c r="P323" i="11" s="1"/>
  <c r="P308" i="11"/>
  <c r="P290" i="11"/>
  <c r="L284" i="11"/>
  <c r="L272" i="11"/>
  <c r="O272" i="11" s="1"/>
  <c r="L235" i="11"/>
  <c r="L222" i="11"/>
  <c r="O222" i="11" s="1"/>
  <c r="I213" i="11"/>
  <c r="K213" i="11" s="1"/>
  <c r="K172" i="11"/>
  <c r="L175" i="11"/>
  <c r="P162" i="11"/>
  <c r="O133" i="11"/>
  <c r="M128" i="11"/>
  <c r="P128" i="11" s="1"/>
  <c r="P99" i="11"/>
  <c r="M97" i="11"/>
  <c r="P97" i="11" s="1"/>
  <c r="P77" i="11"/>
  <c r="I136" i="11"/>
  <c r="K136" i="11" s="1"/>
  <c r="K371" i="11"/>
  <c r="K369" i="11"/>
  <c r="P361" i="11"/>
  <c r="J332" i="11"/>
  <c r="K332" i="11" s="1"/>
  <c r="N305" i="11"/>
  <c r="N303" i="11" s="1"/>
  <c r="L306" i="11"/>
  <c r="O306" i="11" s="1"/>
  <c r="N268" i="11"/>
  <c r="N266" i="11" s="1"/>
  <c r="N269" i="11"/>
  <c r="K229" i="11"/>
  <c r="L203" i="11"/>
  <c r="O203" i="11" s="1"/>
  <c r="K195" i="11"/>
  <c r="N188" i="11"/>
  <c r="N186" i="11" s="1"/>
  <c r="L189" i="11"/>
  <c r="O189" i="11" s="1"/>
  <c r="P181" i="11"/>
  <c r="O162" i="11"/>
  <c r="M145" i="11"/>
  <c r="P145" i="11" s="1"/>
  <c r="L127" i="11"/>
  <c r="O127" i="11" s="1"/>
  <c r="L128" i="11"/>
  <c r="O128" i="11" s="1"/>
  <c r="K109" i="11"/>
  <c r="L97" i="11"/>
  <c r="O97" i="11" s="1"/>
  <c r="I82" i="11"/>
  <c r="I70" i="11" s="1"/>
  <c r="K70" i="11" s="1"/>
  <c r="O77" i="11"/>
  <c r="P52" i="11"/>
  <c r="L50" i="11"/>
  <c r="O50" i="11" s="1"/>
  <c r="L26" i="11"/>
  <c r="O26" i="11" s="1"/>
  <c r="L269" i="11"/>
  <c r="O269" i="11" s="1"/>
  <c r="L254" i="11"/>
  <c r="O254" i="11" s="1"/>
  <c r="L233" i="11"/>
  <c r="K221" i="11"/>
  <c r="O181" i="11"/>
  <c r="N159" i="11"/>
  <c r="N157" i="11" s="1"/>
  <c r="M131" i="11"/>
  <c r="P131" i="11" s="1"/>
  <c r="N127" i="11"/>
  <c r="N125" i="11" s="1"/>
  <c r="L65" i="11"/>
  <c r="O65" i="11" s="1"/>
  <c r="N62" i="11"/>
  <c r="P49" i="11"/>
  <c r="L47" i="11"/>
  <c r="O47" i="11" s="1"/>
  <c r="M288" i="10"/>
  <c r="P288" i="10" s="1"/>
  <c r="K368" i="11"/>
  <c r="L322" i="11"/>
  <c r="O322" i="11" s="1"/>
  <c r="P287" i="11"/>
  <c r="P178" i="11"/>
  <c r="L142" i="11"/>
  <c r="L62" i="11"/>
  <c r="K346" i="10"/>
  <c r="N379" i="11"/>
  <c r="N377" i="11" s="1"/>
  <c r="N335" i="11"/>
  <c r="N333" i="11" s="1"/>
  <c r="N284" i="11"/>
  <c r="N282" i="11" s="1"/>
  <c r="O285" i="11"/>
  <c r="I238" i="11"/>
  <c r="K238" i="11" s="1"/>
  <c r="N175" i="11"/>
  <c r="N173" i="11" s="1"/>
  <c r="O176" i="11"/>
  <c r="P144" i="11"/>
  <c r="L74" i="11"/>
  <c r="L72" i="11" s="1"/>
  <c r="O72" i="11" s="1"/>
  <c r="K365" i="11"/>
  <c r="M383" i="11"/>
  <c r="P383" i="11" s="1"/>
  <c r="M380" i="11"/>
  <c r="P380" i="11" s="1"/>
  <c r="L379" i="11"/>
  <c r="O379" i="11" s="1"/>
  <c r="N359" i="11"/>
  <c r="O359" i="11" s="1"/>
  <c r="M358" i="11"/>
  <c r="M356" i="11" s="1"/>
  <c r="M339" i="11"/>
  <c r="P339" i="11" s="1"/>
  <c r="L336" i="11"/>
  <c r="O336" i="11" s="1"/>
  <c r="L323" i="11"/>
  <c r="O323" i="11" s="1"/>
  <c r="N306" i="11"/>
  <c r="O304" i="11"/>
  <c r="P274" i="11"/>
  <c r="M272" i="11"/>
  <c r="P272" i="11" s="1"/>
  <c r="O267" i="11"/>
  <c r="I253" i="11"/>
  <c r="K253" i="11" s="1"/>
  <c r="K260" i="11"/>
  <c r="P140" i="11"/>
  <c r="P126" i="11"/>
  <c r="K108" i="11"/>
  <c r="I92" i="11"/>
  <c r="K92" i="11" s="1"/>
  <c r="P64" i="11"/>
  <c r="M62" i="11"/>
  <c r="M61" i="11"/>
  <c r="O19" i="11"/>
  <c r="M379" i="11"/>
  <c r="P379" i="11" s="1"/>
  <c r="N358" i="11"/>
  <c r="N356" i="11" s="1"/>
  <c r="K82" i="11"/>
  <c r="P19" i="11"/>
  <c r="P382" i="9"/>
  <c r="L175" i="10"/>
  <c r="L173" i="10" s="1"/>
  <c r="L383" i="11"/>
  <c r="O383" i="11" s="1"/>
  <c r="L380" i="11"/>
  <c r="O380" i="11" s="1"/>
  <c r="P378" i="11"/>
  <c r="M362" i="11"/>
  <c r="P362" i="11" s="1"/>
  <c r="M359" i="11"/>
  <c r="L358" i="11"/>
  <c r="I319" i="11"/>
  <c r="K319" i="11" s="1"/>
  <c r="I302" i="11"/>
  <c r="K302" i="11" s="1"/>
  <c r="K314" i="11"/>
  <c r="I202" i="11"/>
  <c r="K202" i="11" s="1"/>
  <c r="K209" i="11"/>
  <c r="P191" i="11"/>
  <c r="M189" i="11"/>
  <c r="P189" i="11" s="1"/>
  <c r="M188" i="11"/>
  <c r="M186" i="11" s="1"/>
  <c r="P47" i="11"/>
  <c r="K344" i="10"/>
  <c r="K183" i="10"/>
  <c r="O378" i="11"/>
  <c r="P357" i="11"/>
  <c r="J343" i="11"/>
  <c r="P338" i="11"/>
  <c r="L326" i="11"/>
  <c r="O326" i="11" s="1"/>
  <c r="N322" i="11"/>
  <c r="N320" i="11" s="1"/>
  <c r="P311" i="11"/>
  <c r="P271" i="11"/>
  <c r="M269" i="11"/>
  <c r="P269" i="11" s="1"/>
  <c r="L234" i="11"/>
  <c r="L243" i="11"/>
  <c r="O144" i="11"/>
  <c r="N142" i="11"/>
  <c r="O102" i="9"/>
  <c r="O341" i="10"/>
  <c r="L74" i="10"/>
  <c r="O74" i="10" s="1"/>
  <c r="O338" i="11"/>
  <c r="M335" i="11"/>
  <c r="O325" i="11"/>
  <c r="M305" i="11"/>
  <c r="P305" i="11" s="1"/>
  <c r="M268" i="11"/>
  <c r="P268" i="11" s="1"/>
  <c r="O60" i="11"/>
  <c r="P194" i="11"/>
  <c r="M192" i="11"/>
  <c r="P192" i="11" s="1"/>
  <c r="N26" i="11"/>
  <c r="N24" i="11" s="1"/>
  <c r="M96" i="9"/>
  <c r="P96" i="9" s="1"/>
  <c r="P321" i="11"/>
  <c r="O187" i="11"/>
  <c r="N141" i="11"/>
  <c r="N139" i="11" s="1"/>
  <c r="M26" i="11"/>
  <c r="P67" i="11"/>
  <c r="M65" i="11"/>
  <c r="P65" i="11" s="1"/>
  <c r="N19" i="11"/>
  <c r="P325" i="11"/>
  <c r="L305" i="11"/>
  <c r="O305" i="11" s="1"/>
  <c r="K293" i="11"/>
  <c r="O287" i="11"/>
  <c r="L268" i="11"/>
  <c r="O268" i="11" s="1"/>
  <c r="K230" i="11"/>
  <c r="K198" i="11"/>
  <c r="L188" i="11"/>
  <c r="L186" i="11" s="1"/>
  <c r="O178" i="11"/>
  <c r="M141" i="11"/>
  <c r="M127" i="11"/>
  <c r="P127" i="11" s="1"/>
  <c r="L61" i="11"/>
  <c r="O49" i="11"/>
  <c r="N23" i="11"/>
  <c r="N21" i="11" s="1"/>
  <c r="P304" i="11"/>
  <c r="P267" i="11"/>
  <c r="K249" i="11"/>
  <c r="I242" i="11"/>
  <c r="P187" i="11"/>
  <c r="K153" i="11"/>
  <c r="O99" i="11"/>
  <c r="I83" i="11"/>
  <c r="N74" i="11"/>
  <c r="N72" i="11" s="1"/>
  <c r="P60" i="11"/>
  <c r="N46" i="11"/>
  <c r="N44" i="11" s="1"/>
  <c r="O25" i="11"/>
  <c r="M23" i="11"/>
  <c r="M284" i="11"/>
  <c r="P284" i="11" s="1"/>
  <c r="M175" i="11"/>
  <c r="M159" i="11"/>
  <c r="P159" i="11" s="1"/>
  <c r="N96" i="11"/>
  <c r="N94" i="11" s="1"/>
  <c r="M74" i="11"/>
  <c r="P74" i="11" s="1"/>
  <c r="N50" i="11"/>
  <c r="M46" i="11"/>
  <c r="L23" i="11"/>
  <c r="L21" i="11" s="1"/>
  <c r="K292" i="11"/>
  <c r="K183" i="11"/>
  <c r="K84" i="11"/>
  <c r="P22" i="11"/>
  <c r="K292" i="10"/>
  <c r="K198" i="10"/>
  <c r="I332" i="10"/>
  <c r="P147" i="10"/>
  <c r="O52" i="10"/>
  <c r="N379" i="10"/>
  <c r="N377" i="10" s="1"/>
  <c r="M284" i="10"/>
  <c r="M282" i="10" s="1"/>
  <c r="P181" i="10"/>
  <c r="I169" i="10"/>
  <c r="K169" i="10" s="1"/>
  <c r="O147" i="10"/>
  <c r="I137" i="10"/>
  <c r="K137" i="10" s="1"/>
  <c r="O285" i="10"/>
  <c r="N188" i="10"/>
  <c r="N186" i="10" s="1"/>
  <c r="N175" i="10"/>
  <c r="N173" i="10" s="1"/>
  <c r="P336" i="10"/>
  <c r="P191" i="10"/>
  <c r="L96" i="10"/>
  <c r="O96" i="10" s="1"/>
  <c r="M269" i="10"/>
  <c r="P269" i="10" s="1"/>
  <c r="I221" i="10"/>
  <c r="K221" i="10" s="1"/>
  <c r="M175" i="10"/>
  <c r="M173" i="10" s="1"/>
  <c r="P173" i="10" s="1"/>
  <c r="O130" i="10"/>
  <c r="O80" i="10"/>
  <c r="P49" i="10"/>
  <c r="P382" i="10"/>
  <c r="P361" i="10"/>
  <c r="K314" i="10"/>
  <c r="L305" i="10"/>
  <c r="L303" i="10" s="1"/>
  <c r="N159" i="10"/>
  <c r="N157" i="10" s="1"/>
  <c r="L100" i="10"/>
  <c r="O100" i="10" s="1"/>
  <c r="P77" i="10"/>
  <c r="L75" i="10"/>
  <c r="O75" i="10" s="1"/>
  <c r="O382" i="10"/>
  <c r="J343" i="10"/>
  <c r="K293" i="10"/>
  <c r="M285" i="10"/>
  <c r="P285" i="10" s="1"/>
  <c r="L141" i="10"/>
  <c r="L139" i="10" s="1"/>
  <c r="P99" i="10"/>
  <c r="K280" i="10"/>
  <c r="L235" i="10"/>
  <c r="M192" i="10"/>
  <c r="P192" i="10" s="1"/>
  <c r="N189" i="10"/>
  <c r="O189" i="10" s="1"/>
  <c r="L46" i="10"/>
  <c r="L44" i="10" s="1"/>
  <c r="N305" i="10"/>
  <c r="L284" i="10"/>
  <c r="L282" i="10" s="1"/>
  <c r="K365" i="10"/>
  <c r="N160" i="10"/>
  <c r="O160" i="10" s="1"/>
  <c r="N358" i="10"/>
  <c r="N356" i="10" s="1"/>
  <c r="L326" i="10"/>
  <c r="O326" i="10" s="1"/>
  <c r="N323" i="10"/>
  <c r="P287" i="10"/>
  <c r="K260" i="10"/>
  <c r="K167" i="10"/>
  <c r="M159" i="10"/>
  <c r="P159" i="10" s="1"/>
  <c r="M160" i="10"/>
  <c r="P160" i="10" s="1"/>
  <c r="L127" i="10"/>
  <c r="O127" i="10" s="1"/>
  <c r="N127" i="10"/>
  <c r="N125" i="10" s="1"/>
  <c r="K109" i="10"/>
  <c r="L97" i="10"/>
  <c r="O97" i="10" s="1"/>
  <c r="O77" i="10"/>
  <c r="P64" i="10"/>
  <c r="O49" i="10"/>
  <c r="L254" i="10"/>
  <c r="O254" i="10" s="1"/>
  <c r="P385" i="10"/>
  <c r="P338" i="10"/>
  <c r="O287" i="10"/>
  <c r="O271" i="10"/>
  <c r="L236" i="10"/>
  <c r="I213" i="10"/>
  <c r="K213" i="10" s="1"/>
  <c r="O194" i="10"/>
  <c r="L142" i="10"/>
  <c r="O142" i="10" s="1"/>
  <c r="O133" i="10"/>
  <c r="M96" i="10"/>
  <c r="P96" i="10" s="1"/>
  <c r="N74" i="10"/>
  <c r="N72" i="10" s="1"/>
  <c r="N46" i="10"/>
  <c r="O47" i="10"/>
  <c r="K368" i="10"/>
  <c r="M339" i="10"/>
  <c r="P339" i="10" s="1"/>
  <c r="O385" i="10"/>
  <c r="P364" i="10"/>
  <c r="J351" i="10"/>
  <c r="O338" i="10"/>
  <c r="L336" i="10"/>
  <c r="O336" i="10" s="1"/>
  <c r="M322" i="10"/>
  <c r="P322" i="10" s="1"/>
  <c r="L322" i="10"/>
  <c r="O322" i="10" s="1"/>
  <c r="L222" i="10"/>
  <c r="O222" i="10" s="1"/>
  <c r="P178" i="10"/>
  <c r="P165" i="10"/>
  <c r="M141" i="10"/>
  <c r="M139" i="10" s="1"/>
  <c r="P80" i="10"/>
  <c r="P52" i="10"/>
  <c r="P47" i="10"/>
  <c r="N61" i="10"/>
  <c r="N59" i="10" s="1"/>
  <c r="O178" i="9"/>
  <c r="K371" i="10"/>
  <c r="K369" i="10"/>
  <c r="N335" i="10"/>
  <c r="N333" i="10" s="1"/>
  <c r="K302" i="10"/>
  <c r="K281" i="10"/>
  <c r="M268" i="10"/>
  <c r="P268" i="10" s="1"/>
  <c r="I253" i="10"/>
  <c r="L234" i="10"/>
  <c r="K172" i="10"/>
  <c r="O178" i="10"/>
  <c r="N176" i="10"/>
  <c r="O176" i="10" s="1"/>
  <c r="K154" i="10"/>
  <c r="P102" i="10"/>
  <c r="I83" i="10"/>
  <c r="P142" i="10"/>
  <c r="M379" i="10"/>
  <c r="O290" i="10"/>
  <c r="L243" i="10"/>
  <c r="I202" i="10"/>
  <c r="K202" i="10" s="1"/>
  <c r="L179" i="10"/>
  <c r="O179" i="10" s="1"/>
  <c r="O162" i="10"/>
  <c r="L159" i="10"/>
  <c r="P130" i="10"/>
  <c r="M128" i="10"/>
  <c r="P128" i="10" s="1"/>
  <c r="P126" i="10"/>
  <c r="N23" i="10"/>
  <c r="N21" i="10" s="1"/>
  <c r="M19" i="10"/>
  <c r="P22" i="10"/>
  <c r="K368" i="9"/>
  <c r="O361" i="9"/>
  <c r="L379" i="10"/>
  <c r="O379" i="10" s="1"/>
  <c r="J332" i="10"/>
  <c r="P325" i="10"/>
  <c r="O311" i="10"/>
  <c r="P308" i="10"/>
  <c r="N306" i="10"/>
  <c r="O306" i="10" s="1"/>
  <c r="L203" i="10"/>
  <c r="O203" i="10" s="1"/>
  <c r="O191" i="10"/>
  <c r="M188" i="10"/>
  <c r="O165" i="10"/>
  <c r="P144" i="10"/>
  <c r="K108" i="10"/>
  <c r="I92" i="10"/>
  <c r="K92" i="10" s="1"/>
  <c r="N26" i="10"/>
  <c r="N24" i="10" s="1"/>
  <c r="O60" i="10"/>
  <c r="P308" i="8"/>
  <c r="K154" i="9"/>
  <c r="K330" i="10"/>
  <c r="M323" i="10"/>
  <c r="P323" i="10" s="1"/>
  <c r="M306" i="10"/>
  <c r="M272" i="10"/>
  <c r="P272" i="10" s="1"/>
  <c r="N268" i="10"/>
  <c r="N266" i="10" s="1"/>
  <c r="L188" i="10"/>
  <c r="O144" i="10"/>
  <c r="N141" i="10"/>
  <c r="P133" i="10"/>
  <c r="M131" i="10"/>
  <c r="P131" i="10" s="1"/>
  <c r="I82" i="10"/>
  <c r="M26" i="10"/>
  <c r="P26" i="10" s="1"/>
  <c r="P67" i="10"/>
  <c r="M62" i="10"/>
  <c r="P62" i="10" s="1"/>
  <c r="O19" i="10"/>
  <c r="N19" i="10"/>
  <c r="O67" i="10"/>
  <c r="L65" i="10"/>
  <c r="O65" i="10" s="1"/>
  <c r="M61" i="10"/>
  <c r="M59" i="10" s="1"/>
  <c r="N379" i="9"/>
  <c r="N377" i="9" s="1"/>
  <c r="J351" i="9"/>
  <c r="K346" i="9"/>
  <c r="M46" i="9"/>
  <c r="M44" i="9" s="1"/>
  <c r="P328" i="10"/>
  <c r="M309" i="10"/>
  <c r="P309" i="10" s="1"/>
  <c r="L268" i="10"/>
  <c r="L214" i="10"/>
  <c r="O214" i="10" s="1"/>
  <c r="M189" i="10"/>
  <c r="M127" i="10"/>
  <c r="P127" i="10" s="1"/>
  <c r="O64" i="10"/>
  <c r="L62" i="10"/>
  <c r="O62" i="10" s="1"/>
  <c r="L61" i="10"/>
  <c r="L26" i="10"/>
  <c r="O26" i="10" s="1"/>
  <c r="O290" i="9"/>
  <c r="L234" i="9"/>
  <c r="M359" i="10"/>
  <c r="P359" i="10" s="1"/>
  <c r="M358" i="10"/>
  <c r="O308" i="10"/>
  <c r="M305" i="10"/>
  <c r="O274" i="10"/>
  <c r="N232" i="10"/>
  <c r="I156" i="10"/>
  <c r="K156" i="10" s="1"/>
  <c r="M335" i="10"/>
  <c r="N284" i="10"/>
  <c r="N282" i="10" s="1"/>
  <c r="K249" i="10"/>
  <c r="K153" i="10"/>
  <c r="O99" i="10"/>
  <c r="K85" i="10"/>
  <c r="P60" i="10"/>
  <c r="O25" i="10"/>
  <c r="M23" i="10"/>
  <c r="N96" i="10"/>
  <c r="N94" i="10" s="1"/>
  <c r="M74" i="10"/>
  <c r="M46" i="10"/>
  <c r="L23" i="10"/>
  <c r="K84" i="10"/>
  <c r="K369" i="9"/>
  <c r="P311" i="9"/>
  <c r="L96" i="9"/>
  <c r="O96" i="9" s="1"/>
  <c r="K260" i="9"/>
  <c r="O162" i="9"/>
  <c r="K109" i="9"/>
  <c r="O80" i="9"/>
  <c r="L306" i="8"/>
  <c r="O306" i="8" s="1"/>
  <c r="M97" i="9"/>
  <c r="P97" i="9" s="1"/>
  <c r="L74" i="9"/>
  <c r="O74" i="9" s="1"/>
  <c r="P64" i="9"/>
  <c r="K365" i="8"/>
  <c r="O191" i="9"/>
  <c r="M362" i="9"/>
  <c r="P362" i="9" s="1"/>
  <c r="M335" i="9"/>
  <c r="M333" i="9" s="1"/>
  <c r="L309" i="9"/>
  <c r="O309" i="9" s="1"/>
  <c r="L306" i="9"/>
  <c r="O306" i="9" s="1"/>
  <c r="O287" i="9"/>
  <c r="L159" i="9"/>
  <c r="O159" i="9" s="1"/>
  <c r="P385" i="9"/>
  <c r="O338" i="9"/>
  <c r="L235" i="9"/>
  <c r="L127" i="9"/>
  <c r="O127" i="9" s="1"/>
  <c r="N61" i="9"/>
  <c r="N59" i="9" s="1"/>
  <c r="L46" i="9"/>
  <c r="L44" i="9" s="1"/>
  <c r="N380" i="9"/>
  <c r="M358" i="9"/>
  <c r="M356" i="9" s="1"/>
  <c r="N322" i="9"/>
  <c r="N320" i="9" s="1"/>
  <c r="L272" i="9"/>
  <c r="O272" i="9" s="1"/>
  <c r="L269" i="9"/>
  <c r="O269" i="9" s="1"/>
  <c r="O165" i="9"/>
  <c r="I156" i="9"/>
  <c r="K156" i="9" s="1"/>
  <c r="N74" i="9"/>
  <c r="N72" i="9" s="1"/>
  <c r="N268" i="9"/>
  <c r="N266" i="9" s="1"/>
  <c r="M339" i="9"/>
  <c r="P339" i="9" s="1"/>
  <c r="M322" i="9"/>
  <c r="P322" i="9" s="1"/>
  <c r="L50" i="9"/>
  <c r="O50" i="9" s="1"/>
  <c r="I138" i="9"/>
  <c r="K138" i="9" s="1"/>
  <c r="L322" i="9"/>
  <c r="O322" i="9" s="1"/>
  <c r="L214" i="9"/>
  <c r="O214" i="9" s="1"/>
  <c r="L97" i="9"/>
  <c r="O97" i="9" s="1"/>
  <c r="L236" i="8"/>
  <c r="M188" i="8"/>
  <c r="M186" i="8" s="1"/>
  <c r="M379" i="9"/>
  <c r="P379" i="9" s="1"/>
  <c r="K371" i="9"/>
  <c r="N358" i="9"/>
  <c r="N356" i="9" s="1"/>
  <c r="M359" i="9"/>
  <c r="P359" i="9" s="1"/>
  <c r="N335" i="9"/>
  <c r="N333" i="9" s="1"/>
  <c r="M336" i="9"/>
  <c r="P336" i="9" s="1"/>
  <c r="P328" i="9"/>
  <c r="N284" i="9"/>
  <c r="N282" i="9" s="1"/>
  <c r="P271" i="9"/>
  <c r="L236" i="9"/>
  <c r="I238" i="9"/>
  <c r="K238" i="9" s="1"/>
  <c r="K220" i="9"/>
  <c r="L175" i="9"/>
  <c r="L173" i="9" s="1"/>
  <c r="O147" i="9"/>
  <c r="M145" i="9"/>
  <c r="P145" i="9" s="1"/>
  <c r="M142" i="9"/>
  <c r="P142" i="9" s="1"/>
  <c r="P52" i="9"/>
  <c r="J343" i="9"/>
  <c r="I213" i="8"/>
  <c r="K213" i="8" s="1"/>
  <c r="O99" i="8"/>
  <c r="O64" i="8"/>
  <c r="L379" i="9"/>
  <c r="O379" i="9" s="1"/>
  <c r="P325" i="9"/>
  <c r="L192" i="9"/>
  <c r="O192" i="9" s="1"/>
  <c r="P99" i="9"/>
  <c r="O95" i="9"/>
  <c r="P77" i="9"/>
  <c r="O64" i="9"/>
  <c r="L47" i="9"/>
  <c r="O47" i="9" s="1"/>
  <c r="M19" i="9"/>
  <c r="O378" i="9"/>
  <c r="O325" i="9"/>
  <c r="P191" i="9"/>
  <c r="L189" i="9"/>
  <c r="O189" i="9" s="1"/>
  <c r="O181" i="9"/>
  <c r="L157" i="9"/>
  <c r="O157" i="9" s="1"/>
  <c r="M131" i="9"/>
  <c r="P131" i="9" s="1"/>
  <c r="P102" i="9"/>
  <c r="O99" i="9"/>
  <c r="O77" i="9"/>
  <c r="L19" i="9"/>
  <c r="O19" i="9" s="1"/>
  <c r="N268" i="8"/>
  <c r="N266" i="8" s="1"/>
  <c r="I281" i="9"/>
  <c r="K281" i="9" s="1"/>
  <c r="K221" i="9"/>
  <c r="N284" i="8"/>
  <c r="N282" i="8" s="1"/>
  <c r="P165" i="8"/>
  <c r="L383" i="9"/>
  <c r="O383" i="9" s="1"/>
  <c r="J332" i="9"/>
  <c r="K332" i="9" s="1"/>
  <c r="M323" i="9"/>
  <c r="P323" i="9" s="1"/>
  <c r="L284" i="9"/>
  <c r="L282" i="9" s="1"/>
  <c r="L254" i="9"/>
  <c r="O254" i="9" s="1"/>
  <c r="L233" i="9"/>
  <c r="K229" i="9"/>
  <c r="L203" i="9"/>
  <c r="O203" i="9" s="1"/>
  <c r="P178" i="9"/>
  <c r="L141" i="9"/>
  <c r="L139" i="9" s="1"/>
  <c r="O139" i="9" s="1"/>
  <c r="L131" i="9"/>
  <c r="O131" i="9" s="1"/>
  <c r="M128" i="9"/>
  <c r="P128" i="9" s="1"/>
  <c r="I83" i="9"/>
  <c r="I71" i="9" s="1"/>
  <c r="K71" i="9" s="1"/>
  <c r="L75" i="9"/>
  <c r="O75" i="9" s="1"/>
  <c r="L65" i="9"/>
  <c r="O65" i="9" s="1"/>
  <c r="P49" i="9"/>
  <c r="I231" i="9"/>
  <c r="K231" i="9" s="1"/>
  <c r="K242" i="9"/>
  <c r="L335" i="9"/>
  <c r="L359" i="9"/>
  <c r="O359" i="9" s="1"/>
  <c r="M284" i="9"/>
  <c r="N269" i="9"/>
  <c r="N26" i="9"/>
  <c r="N24" i="9" s="1"/>
  <c r="N50" i="9"/>
  <c r="L358" i="9"/>
  <c r="I365" i="9"/>
  <c r="K365" i="9" s="1"/>
  <c r="L339" i="9"/>
  <c r="O339" i="9" s="1"/>
  <c r="L222" i="9"/>
  <c r="O222" i="9" s="1"/>
  <c r="O382" i="9"/>
  <c r="P361" i="9"/>
  <c r="O357" i="9"/>
  <c r="P338" i="9"/>
  <c r="O328" i="9"/>
  <c r="P321" i="9"/>
  <c r="N305" i="9"/>
  <c r="N303" i="9" s="1"/>
  <c r="I302" i="9"/>
  <c r="K302" i="9" s="1"/>
  <c r="K293" i="9"/>
  <c r="P287" i="9"/>
  <c r="I280" i="9"/>
  <c r="K280" i="9" s="1"/>
  <c r="P181" i="9"/>
  <c r="P162" i="9"/>
  <c r="M159" i="9"/>
  <c r="P159" i="9" s="1"/>
  <c r="N141" i="9"/>
  <c r="N139" i="9" s="1"/>
  <c r="O62" i="9"/>
  <c r="M26" i="9"/>
  <c r="M50" i="9"/>
  <c r="P50" i="9" s="1"/>
  <c r="N188" i="9"/>
  <c r="N186" i="9" s="1"/>
  <c r="L142" i="9"/>
  <c r="O142" i="9" s="1"/>
  <c r="N175" i="7"/>
  <c r="N173" i="7" s="1"/>
  <c r="L362" i="9"/>
  <c r="O362" i="9" s="1"/>
  <c r="L336" i="9"/>
  <c r="O336" i="9" s="1"/>
  <c r="M188" i="9"/>
  <c r="M186" i="9" s="1"/>
  <c r="N176" i="9"/>
  <c r="O176" i="9" s="1"/>
  <c r="P361" i="8"/>
  <c r="M305" i="9"/>
  <c r="P305" i="9" s="1"/>
  <c r="N285" i="9"/>
  <c r="P285" i="9" s="1"/>
  <c r="O283" i="9"/>
  <c r="P274" i="9"/>
  <c r="K209" i="9"/>
  <c r="O187" i="9"/>
  <c r="P158" i="9"/>
  <c r="O144" i="9"/>
  <c r="I137" i="9"/>
  <c r="K137" i="9" s="1"/>
  <c r="L128" i="9"/>
  <c r="O128" i="9" s="1"/>
  <c r="I82" i="9"/>
  <c r="P80" i="9"/>
  <c r="P62" i="9"/>
  <c r="L26" i="9"/>
  <c r="O26" i="9" s="1"/>
  <c r="P19" i="9"/>
  <c r="L243" i="9"/>
  <c r="N159" i="9"/>
  <c r="N157" i="9" s="1"/>
  <c r="M74" i="9"/>
  <c r="P74" i="9" s="1"/>
  <c r="O99" i="7"/>
  <c r="K330" i="8"/>
  <c r="L288" i="8"/>
  <c r="O288" i="8" s="1"/>
  <c r="K344" i="9"/>
  <c r="P308" i="9"/>
  <c r="P304" i="9"/>
  <c r="P290" i="9"/>
  <c r="K249" i="9"/>
  <c r="I195" i="9"/>
  <c r="K195" i="9" s="1"/>
  <c r="P189" i="9"/>
  <c r="N175" i="9"/>
  <c r="N173" i="9" s="1"/>
  <c r="I172" i="9"/>
  <c r="K172" i="9" s="1"/>
  <c r="P165" i="9"/>
  <c r="O158" i="9"/>
  <c r="P140" i="9"/>
  <c r="N127" i="9"/>
  <c r="N125" i="9" s="1"/>
  <c r="N96" i="9"/>
  <c r="N94" i="9" s="1"/>
  <c r="I92" i="9"/>
  <c r="K92" i="9" s="1"/>
  <c r="P73" i="9"/>
  <c r="M61" i="9"/>
  <c r="N46" i="9"/>
  <c r="N44" i="9" s="1"/>
  <c r="N23" i="9"/>
  <c r="N21" i="9" s="1"/>
  <c r="I319" i="9"/>
  <c r="K319" i="9" s="1"/>
  <c r="J351" i="8"/>
  <c r="P325" i="8"/>
  <c r="O287" i="8"/>
  <c r="M268" i="9"/>
  <c r="P268" i="9" s="1"/>
  <c r="P194" i="9"/>
  <c r="M175" i="9"/>
  <c r="P67" i="9"/>
  <c r="M47" i="9"/>
  <c r="P47" i="9" s="1"/>
  <c r="M23" i="9"/>
  <c r="N19" i="9"/>
  <c r="L305" i="9"/>
  <c r="L268" i="9"/>
  <c r="L188" i="9"/>
  <c r="M141" i="9"/>
  <c r="P141" i="9" s="1"/>
  <c r="M127" i="9"/>
  <c r="P127" i="9" s="1"/>
  <c r="L61" i="9"/>
  <c r="O49" i="9"/>
  <c r="L23" i="9"/>
  <c r="L21" i="9" s="1"/>
  <c r="K84" i="9"/>
  <c r="P22" i="9"/>
  <c r="O22" i="9"/>
  <c r="L159" i="8"/>
  <c r="O159" i="8" s="1"/>
  <c r="O77" i="8"/>
  <c r="K369" i="8"/>
  <c r="O364" i="8"/>
  <c r="O361" i="8"/>
  <c r="K344" i="8"/>
  <c r="L234" i="8"/>
  <c r="M145" i="8"/>
  <c r="P145" i="8" s="1"/>
  <c r="M142" i="8"/>
  <c r="P142" i="8" s="1"/>
  <c r="P102" i="8"/>
  <c r="K371" i="8"/>
  <c r="I281" i="8"/>
  <c r="K281" i="8" s="1"/>
  <c r="L272" i="8"/>
  <c r="O272" i="8" s="1"/>
  <c r="L65" i="8"/>
  <c r="O65" i="8" s="1"/>
  <c r="K368" i="8"/>
  <c r="K314" i="8"/>
  <c r="K109" i="8"/>
  <c r="M326" i="8"/>
  <c r="P326" i="8" s="1"/>
  <c r="L309" i="8"/>
  <c r="O309" i="8" s="1"/>
  <c r="P271" i="8"/>
  <c r="K153" i="8"/>
  <c r="O102" i="8"/>
  <c r="L192" i="8"/>
  <c r="O192" i="8" s="1"/>
  <c r="L46" i="8"/>
  <c r="L44" i="8" s="1"/>
  <c r="L243" i="8"/>
  <c r="I156" i="8"/>
  <c r="K156" i="8" s="1"/>
  <c r="I83" i="8"/>
  <c r="I71" i="8" s="1"/>
  <c r="K71" i="8" s="1"/>
  <c r="L203" i="8"/>
  <c r="O203" i="8" s="1"/>
  <c r="K154" i="8"/>
  <c r="P77" i="8"/>
  <c r="K346" i="8"/>
  <c r="I172" i="8"/>
  <c r="K172" i="8" s="1"/>
  <c r="O67" i="7"/>
  <c r="L322" i="8"/>
  <c r="L320" i="8" s="1"/>
  <c r="O320" i="8" s="1"/>
  <c r="N305" i="8"/>
  <c r="N303" i="8" s="1"/>
  <c r="L269" i="8"/>
  <c r="O269" i="8" s="1"/>
  <c r="L254" i="8"/>
  <c r="O254" i="8" s="1"/>
  <c r="L214" i="8"/>
  <c r="O214" i="8" s="1"/>
  <c r="P181" i="8"/>
  <c r="L175" i="8"/>
  <c r="L173" i="8" s="1"/>
  <c r="O165" i="8"/>
  <c r="M96" i="8"/>
  <c r="P96" i="8" s="1"/>
  <c r="N61" i="8"/>
  <c r="N59" i="8" s="1"/>
  <c r="L62" i="8"/>
  <c r="O62" i="8" s="1"/>
  <c r="O52" i="8"/>
  <c r="I238" i="8"/>
  <c r="K238" i="8" s="1"/>
  <c r="L78" i="7"/>
  <c r="O78" i="7" s="1"/>
  <c r="J343" i="8"/>
  <c r="M322" i="8"/>
  <c r="M320" i="8" s="1"/>
  <c r="P320" i="8" s="1"/>
  <c r="L284" i="8"/>
  <c r="L282" i="8" s="1"/>
  <c r="I253" i="8"/>
  <c r="K253" i="8" s="1"/>
  <c r="I242" i="8"/>
  <c r="K242" i="8" s="1"/>
  <c r="O181" i="8"/>
  <c r="P162" i="8"/>
  <c r="I137" i="8"/>
  <c r="K137" i="8" s="1"/>
  <c r="L96" i="8"/>
  <c r="L94" i="8" s="1"/>
  <c r="O94" i="8" s="1"/>
  <c r="P80" i="8"/>
  <c r="M19" i="8"/>
  <c r="N188" i="8"/>
  <c r="N186" i="8" s="1"/>
  <c r="L145" i="7"/>
  <c r="O145" i="7" s="1"/>
  <c r="L100" i="7"/>
  <c r="O100" i="7" s="1"/>
  <c r="P77" i="7"/>
  <c r="P290" i="8"/>
  <c r="O162" i="8"/>
  <c r="I82" i="8"/>
  <c r="K82" i="8" s="1"/>
  <c r="O80" i="8"/>
  <c r="L74" i="8"/>
  <c r="O74" i="8" s="1"/>
  <c r="P49" i="8"/>
  <c r="L47" i="8"/>
  <c r="O47" i="8" s="1"/>
  <c r="L19" i="8"/>
  <c r="P338" i="8"/>
  <c r="I168" i="7"/>
  <c r="K168" i="7" s="1"/>
  <c r="K154" i="7"/>
  <c r="I137" i="7"/>
  <c r="K137" i="7" s="1"/>
  <c r="N379" i="8"/>
  <c r="N377" i="8" s="1"/>
  <c r="O341" i="8"/>
  <c r="O338" i="8"/>
  <c r="O328" i="8"/>
  <c r="P311" i="8"/>
  <c r="L233" i="8"/>
  <c r="K229" i="8"/>
  <c r="I195" i="8"/>
  <c r="K195" i="8" s="1"/>
  <c r="P178" i="8"/>
  <c r="L160" i="8"/>
  <c r="O160" i="8" s="1"/>
  <c r="M131" i="8"/>
  <c r="P131" i="8" s="1"/>
  <c r="M128" i="8"/>
  <c r="P128" i="8" s="1"/>
  <c r="P99" i="8"/>
  <c r="O336" i="8"/>
  <c r="O359" i="8"/>
  <c r="N380" i="8"/>
  <c r="M379" i="8"/>
  <c r="P379" i="8" s="1"/>
  <c r="N358" i="8"/>
  <c r="N356" i="8" s="1"/>
  <c r="N335" i="8"/>
  <c r="N333" i="8" s="1"/>
  <c r="N306" i="8"/>
  <c r="M268" i="8"/>
  <c r="P268" i="8" s="1"/>
  <c r="P126" i="8"/>
  <c r="M26" i="8"/>
  <c r="O19" i="8"/>
  <c r="N272" i="8"/>
  <c r="L235" i="8"/>
  <c r="N26" i="8"/>
  <c r="N24" i="8" s="1"/>
  <c r="M383" i="8"/>
  <c r="P383" i="8" s="1"/>
  <c r="M380" i="8"/>
  <c r="P380" i="8" s="1"/>
  <c r="L379" i="8"/>
  <c r="M358" i="8"/>
  <c r="M335" i="8"/>
  <c r="M333" i="8" s="1"/>
  <c r="J332" i="8"/>
  <c r="K332" i="8" s="1"/>
  <c r="L323" i="8"/>
  <c r="O323" i="8" s="1"/>
  <c r="N288" i="8"/>
  <c r="P194" i="8"/>
  <c r="M192" i="8"/>
  <c r="P192" i="8" s="1"/>
  <c r="O147" i="8"/>
  <c r="L145" i="8"/>
  <c r="O145" i="8" s="1"/>
  <c r="N141" i="8"/>
  <c r="N139" i="8" s="1"/>
  <c r="K108" i="8"/>
  <c r="I92" i="8"/>
  <c r="K92" i="8" s="1"/>
  <c r="N74" i="8"/>
  <c r="N72" i="8" s="1"/>
  <c r="I93" i="7"/>
  <c r="K93" i="7" s="1"/>
  <c r="P361" i="7"/>
  <c r="O290" i="7"/>
  <c r="L179" i="7"/>
  <c r="O179" i="7" s="1"/>
  <c r="O162" i="7"/>
  <c r="L383" i="8"/>
  <c r="O383" i="8" s="1"/>
  <c r="L380" i="8"/>
  <c r="O380" i="8" s="1"/>
  <c r="P378" i="8"/>
  <c r="M362" i="8"/>
  <c r="P362" i="8" s="1"/>
  <c r="M359" i="8"/>
  <c r="P359" i="8" s="1"/>
  <c r="L358" i="8"/>
  <c r="M339" i="8"/>
  <c r="P339" i="8" s="1"/>
  <c r="M336" i="8"/>
  <c r="P336" i="8" s="1"/>
  <c r="L335" i="8"/>
  <c r="M284" i="8"/>
  <c r="O267" i="8"/>
  <c r="L222" i="8"/>
  <c r="O222" i="8" s="1"/>
  <c r="N189" i="8"/>
  <c r="O189" i="8" s="1"/>
  <c r="N176" i="8"/>
  <c r="O176" i="8" s="1"/>
  <c r="O178" i="8"/>
  <c r="O144" i="8"/>
  <c r="L142" i="8"/>
  <c r="O142" i="8" s="1"/>
  <c r="L141" i="8"/>
  <c r="O60" i="8"/>
  <c r="P47" i="8"/>
  <c r="L26" i="8"/>
  <c r="O26" i="8" s="1"/>
  <c r="P19" i="8"/>
  <c r="O338" i="6"/>
  <c r="O359" i="7"/>
  <c r="P325" i="7"/>
  <c r="P287" i="7"/>
  <c r="P334" i="8"/>
  <c r="K293" i="8"/>
  <c r="P287" i="8"/>
  <c r="P283" i="8"/>
  <c r="I280" i="8"/>
  <c r="K280" i="8" s="1"/>
  <c r="P191" i="8"/>
  <c r="M189" i="8"/>
  <c r="N159" i="8"/>
  <c r="N157" i="8" s="1"/>
  <c r="O133" i="8"/>
  <c r="L131" i="8"/>
  <c r="O131" i="8" s="1"/>
  <c r="N127" i="8"/>
  <c r="N125" i="8" s="1"/>
  <c r="P67" i="8"/>
  <c r="M65" i="8"/>
  <c r="P65" i="8" s="1"/>
  <c r="O165" i="5"/>
  <c r="N322" i="8"/>
  <c r="N320" i="8" s="1"/>
  <c r="M305" i="8"/>
  <c r="P305" i="8" s="1"/>
  <c r="N285" i="8"/>
  <c r="P285" i="8" s="1"/>
  <c r="O283" i="8"/>
  <c r="P274" i="8"/>
  <c r="K209" i="8"/>
  <c r="O191" i="8"/>
  <c r="N175" i="8"/>
  <c r="N173" i="8" s="1"/>
  <c r="P158" i="8"/>
  <c r="P140" i="8"/>
  <c r="O130" i="8"/>
  <c r="L23" i="8"/>
  <c r="L21" i="8" s="1"/>
  <c r="L128" i="8"/>
  <c r="O128" i="8" s="1"/>
  <c r="L127" i="8"/>
  <c r="P64" i="8"/>
  <c r="M23" i="8"/>
  <c r="M62" i="8"/>
  <c r="P62" i="8" s="1"/>
  <c r="M61" i="8"/>
  <c r="M59" i="8" s="1"/>
  <c r="N19" i="8"/>
  <c r="L305" i="8"/>
  <c r="L268" i="8"/>
  <c r="O268" i="8" s="1"/>
  <c r="L188" i="8"/>
  <c r="M141" i="8"/>
  <c r="P141" i="8" s="1"/>
  <c r="M127" i="8"/>
  <c r="P127" i="8" s="1"/>
  <c r="L61" i="8"/>
  <c r="O49" i="8"/>
  <c r="N23" i="8"/>
  <c r="N21" i="8" s="1"/>
  <c r="N46" i="8"/>
  <c r="N44" i="8" s="1"/>
  <c r="M175" i="8"/>
  <c r="M173" i="8" s="1"/>
  <c r="M159" i="8"/>
  <c r="P159" i="8" s="1"/>
  <c r="N96" i="8"/>
  <c r="N94" i="8" s="1"/>
  <c r="M74" i="8"/>
  <c r="P74" i="8" s="1"/>
  <c r="N50" i="8"/>
  <c r="M46" i="8"/>
  <c r="P46" i="8" s="1"/>
  <c r="K84" i="8"/>
  <c r="M50" i="8"/>
  <c r="P50" i="8" s="1"/>
  <c r="P22" i="8"/>
  <c r="O22" i="8"/>
  <c r="K369" i="7"/>
  <c r="L254" i="7"/>
  <c r="O254" i="7" s="1"/>
  <c r="L236" i="7"/>
  <c r="L214" i="7"/>
  <c r="O214" i="7" s="1"/>
  <c r="P274" i="7"/>
  <c r="M145" i="7"/>
  <c r="P145" i="7" s="1"/>
  <c r="L46" i="7"/>
  <c r="L44" i="7" s="1"/>
  <c r="M335" i="7"/>
  <c r="M333" i="7" s="1"/>
  <c r="K368" i="7"/>
  <c r="K346" i="7"/>
  <c r="L322" i="7"/>
  <c r="O322" i="7" s="1"/>
  <c r="L309" i="7"/>
  <c r="O309" i="7" s="1"/>
  <c r="N268" i="7"/>
  <c r="N266" i="7" s="1"/>
  <c r="I195" i="7"/>
  <c r="K195" i="7" s="1"/>
  <c r="K153" i="7"/>
  <c r="L233" i="7"/>
  <c r="P191" i="7"/>
  <c r="I83" i="7"/>
  <c r="I71" i="7" s="1"/>
  <c r="K71" i="7" s="1"/>
  <c r="O328" i="7"/>
  <c r="M326" i="7"/>
  <c r="P326" i="7" s="1"/>
  <c r="N188" i="7"/>
  <c r="N186" i="7" s="1"/>
  <c r="P181" i="7"/>
  <c r="M141" i="7"/>
  <c r="M139" i="7" s="1"/>
  <c r="I82" i="7"/>
  <c r="I70" i="7" s="1"/>
  <c r="K70" i="7" s="1"/>
  <c r="K229" i="6"/>
  <c r="N379" i="7"/>
  <c r="N377" i="7" s="1"/>
  <c r="N335" i="7"/>
  <c r="N333" i="7" s="1"/>
  <c r="P338" i="7"/>
  <c r="L284" i="7"/>
  <c r="L282" i="7" s="1"/>
  <c r="K156" i="7"/>
  <c r="L74" i="7"/>
  <c r="L72" i="7" s="1"/>
  <c r="M127" i="7"/>
  <c r="P127" i="7" s="1"/>
  <c r="K169" i="6"/>
  <c r="J351" i="7"/>
  <c r="M336" i="7"/>
  <c r="P336" i="7" s="1"/>
  <c r="K330" i="7"/>
  <c r="P308" i="7"/>
  <c r="I302" i="7"/>
  <c r="K302" i="7" s="1"/>
  <c r="K293" i="7"/>
  <c r="O287" i="7"/>
  <c r="I242" i="7"/>
  <c r="K242" i="7" s="1"/>
  <c r="M188" i="7"/>
  <c r="O178" i="7"/>
  <c r="L159" i="7"/>
  <c r="L157" i="7" s="1"/>
  <c r="O75" i="7"/>
  <c r="N61" i="7"/>
  <c r="N59" i="7" s="1"/>
  <c r="K371" i="7"/>
  <c r="M322" i="7"/>
  <c r="P322" i="7" s="1"/>
  <c r="O306" i="7"/>
  <c r="O283" i="7"/>
  <c r="O191" i="7"/>
  <c r="O165" i="7"/>
  <c r="M96" i="7"/>
  <c r="P96" i="7" s="1"/>
  <c r="L50" i="7"/>
  <c r="O50" i="7" s="1"/>
  <c r="M19" i="7"/>
  <c r="P19" i="7" s="1"/>
  <c r="O325" i="6"/>
  <c r="O364" i="7"/>
  <c r="O361" i="7"/>
  <c r="K344" i="7"/>
  <c r="O336" i="7"/>
  <c r="P290" i="7"/>
  <c r="L272" i="7"/>
  <c r="O272" i="7" s="1"/>
  <c r="L269" i="7"/>
  <c r="O269" i="7" s="1"/>
  <c r="L203" i="7"/>
  <c r="O203" i="7" s="1"/>
  <c r="P194" i="7"/>
  <c r="L175" i="7"/>
  <c r="L173" i="7" s="1"/>
  <c r="M142" i="7"/>
  <c r="P133" i="7"/>
  <c r="L96" i="7"/>
  <c r="L94" i="7" s="1"/>
  <c r="O94" i="7" s="1"/>
  <c r="L61" i="7"/>
  <c r="L59" i="7" s="1"/>
  <c r="P49" i="7"/>
  <c r="L47" i="7"/>
  <c r="O47" i="7" s="1"/>
  <c r="L19" i="7"/>
  <c r="K365" i="7"/>
  <c r="L235" i="7"/>
  <c r="K229" i="7"/>
  <c r="L192" i="7"/>
  <c r="O192" i="7" s="1"/>
  <c r="P162" i="7"/>
  <c r="L141" i="7"/>
  <c r="L139" i="7" s="1"/>
  <c r="P130" i="7"/>
  <c r="M100" i="7"/>
  <c r="P100" i="7" s="1"/>
  <c r="P80" i="7"/>
  <c r="K253" i="7"/>
  <c r="N305" i="7"/>
  <c r="N303" i="7" s="1"/>
  <c r="L234" i="7"/>
  <c r="L243" i="7"/>
  <c r="N159" i="7"/>
  <c r="N157" i="7" s="1"/>
  <c r="M26" i="7"/>
  <c r="N380" i="7"/>
  <c r="M379" i="7"/>
  <c r="P379" i="7" s="1"/>
  <c r="N358" i="7"/>
  <c r="N356" i="7" s="1"/>
  <c r="J343" i="7"/>
  <c r="M339" i="7"/>
  <c r="P339" i="7" s="1"/>
  <c r="M305" i="7"/>
  <c r="N285" i="7"/>
  <c r="O285" i="7" s="1"/>
  <c r="L222" i="7"/>
  <c r="O222" i="7" s="1"/>
  <c r="I202" i="7"/>
  <c r="K202" i="7" s="1"/>
  <c r="K209" i="7"/>
  <c r="M159" i="7"/>
  <c r="P159" i="7" s="1"/>
  <c r="K108" i="7"/>
  <c r="I92" i="7"/>
  <c r="K92" i="7" s="1"/>
  <c r="O19" i="7"/>
  <c r="M383" i="7"/>
  <c r="P383" i="7" s="1"/>
  <c r="M380" i="7"/>
  <c r="P380" i="7" s="1"/>
  <c r="L379" i="7"/>
  <c r="M358" i="7"/>
  <c r="J332" i="7"/>
  <c r="K332" i="7" s="1"/>
  <c r="L323" i="7"/>
  <c r="O323" i="7" s="1"/>
  <c r="N272" i="7"/>
  <c r="N179" i="7"/>
  <c r="K136" i="7"/>
  <c r="P75" i="7"/>
  <c r="L383" i="7"/>
  <c r="O383" i="7" s="1"/>
  <c r="L380" i="7"/>
  <c r="O380" i="7" s="1"/>
  <c r="P378" i="7"/>
  <c r="M362" i="7"/>
  <c r="P362" i="7" s="1"/>
  <c r="M359" i="7"/>
  <c r="P359" i="7" s="1"/>
  <c r="L358" i="7"/>
  <c r="O338" i="7"/>
  <c r="O304" i="7"/>
  <c r="M268" i="7"/>
  <c r="P268" i="7" s="1"/>
  <c r="I238" i="7"/>
  <c r="K238" i="7" s="1"/>
  <c r="I213" i="7"/>
  <c r="K213" i="7" s="1"/>
  <c r="M175" i="7"/>
  <c r="N160" i="7"/>
  <c r="O160" i="7" s="1"/>
  <c r="P144" i="7"/>
  <c r="N142" i="7"/>
  <c r="O130" i="7"/>
  <c r="L23" i="7"/>
  <c r="L21" i="7" s="1"/>
  <c r="L127" i="7"/>
  <c r="N127" i="7"/>
  <c r="N125" i="7" s="1"/>
  <c r="O60" i="7"/>
  <c r="P47" i="7"/>
  <c r="L26" i="7"/>
  <c r="O26" i="7" s="1"/>
  <c r="I280" i="7"/>
  <c r="K280" i="7" s="1"/>
  <c r="O311" i="6"/>
  <c r="O308" i="6"/>
  <c r="L128" i="6"/>
  <c r="O128" i="6" s="1"/>
  <c r="O341" i="7"/>
  <c r="N322" i="7"/>
  <c r="N320" i="7" s="1"/>
  <c r="P306" i="7"/>
  <c r="N284" i="7"/>
  <c r="N282" i="7" s="1"/>
  <c r="I281" i="7"/>
  <c r="K281" i="7" s="1"/>
  <c r="P271" i="7"/>
  <c r="P267" i="7"/>
  <c r="O189" i="7"/>
  <c r="P178" i="7"/>
  <c r="P165" i="7"/>
  <c r="P158" i="7"/>
  <c r="P126" i="7"/>
  <c r="P67" i="7"/>
  <c r="M65" i="7"/>
  <c r="P65" i="7" s="1"/>
  <c r="O62" i="7"/>
  <c r="P174" i="7"/>
  <c r="L222" i="6"/>
  <c r="O222" i="6" s="1"/>
  <c r="L214" i="6"/>
  <c r="O214" i="6" s="1"/>
  <c r="L335" i="7"/>
  <c r="O325" i="7"/>
  <c r="P311" i="7"/>
  <c r="O308" i="7"/>
  <c r="M284" i="7"/>
  <c r="M282" i="7" s="1"/>
  <c r="O267" i="7"/>
  <c r="K260" i="7"/>
  <c r="P189" i="7"/>
  <c r="N176" i="7"/>
  <c r="O176" i="7" s="1"/>
  <c r="O144" i="7"/>
  <c r="N141" i="7"/>
  <c r="L131" i="7"/>
  <c r="O131" i="7" s="1"/>
  <c r="P64" i="7"/>
  <c r="M62" i="7"/>
  <c r="P62" i="7" s="1"/>
  <c r="M61" i="7"/>
  <c r="N26" i="7"/>
  <c r="N24" i="7" s="1"/>
  <c r="N19" i="7"/>
  <c r="L305" i="7"/>
  <c r="L268" i="7"/>
  <c r="O268" i="7" s="1"/>
  <c r="L188" i="7"/>
  <c r="I169" i="7"/>
  <c r="K169" i="7" s="1"/>
  <c r="P99" i="7"/>
  <c r="O77" i="7"/>
  <c r="O49" i="7"/>
  <c r="N23" i="7"/>
  <c r="K85" i="7"/>
  <c r="N74" i="7"/>
  <c r="N72" i="7" s="1"/>
  <c r="N46" i="7"/>
  <c r="N44" i="7" s="1"/>
  <c r="M23" i="7"/>
  <c r="N96" i="7"/>
  <c r="N94" i="7" s="1"/>
  <c r="M74" i="7"/>
  <c r="M72" i="7" s="1"/>
  <c r="M46" i="7"/>
  <c r="M44" i="7" s="1"/>
  <c r="K183" i="7"/>
  <c r="K167" i="7"/>
  <c r="K84" i="7"/>
  <c r="O64" i="7"/>
  <c r="M50" i="7"/>
  <c r="P50" i="7" s="1"/>
  <c r="P22" i="7"/>
  <c r="O22" i="7"/>
  <c r="L235" i="6"/>
  <c r="P176" i="6"/>
  <c r="I136" i="6"/>
  <c r="K136" i="6" s="1"/>
  <c r="M131" i="6"/>
  <c r="P131" i="6" s="1"/>
  <c r="O102" i="6"/>
  <c r="N74" i="6"/>
  <c r="N72" i="6" s="1"/>
  <c r="L284" i="6"/>
  <c r="L282" i="6" s="1"/>
  <c r="P328" i="6"/>
  <c r="I319" i="6"/>
  <c r="K319" i="6" s="1"/>
  <c r="P162" i="5"/>
  <c r="J343" i="6"/>
  <c r="O274" i="6"/>
  <c r="O271" i="6"/>
  <c r="P147" i="6"/>
  <c r="O99" i="6"/>
  <c r="O67" i="6"/>
  <c r="N268" i="6"/>
  <c r="N266" i="6" s="1"/>
  <c r="L145" i="6"/>
  <c r="O145" i="6" s="1"/>
  <c r="N61" i="6"/>
  <c r="N59" i="6" s="1"/>
  <c r="P336" i="6"/>
  <c r="P287" i="6"/>
  <c r="O194" i="6"/>
  <c r="N141" i="6"/>
  <c r="N139" i="6" s="1"/>
  <c r="P77" i="6"/>
  <c r="K368" i="6"/>
  <c r="N188" i="6"/>
  <c r="N186" i="6" s="1"/>
  <c r="N46" i="6"/>
  <c r="N44" i="6" s="1"/>
  <c r="K365" i="6"/>
  <c r="N305" i="6"/>
  <c r="N303" i="6" s="1"/>
  <c r="J351" i="6"/>
  <c r="K346" i="6"/>
  <c r="L243" i="6"/>
  <c r="O243" i="6" s="1"/>
  <c r="L188" i="6"/>
  <c r="M127" i="6"/>
  <c r="P127" i="6" s="1"/>
  <c r="M358" i="6"/>
  <c r="M356" i="6" s="1"/>
  <c r="I93" i="6"/>
  <c r="K93" i="6" s="1"/>
  <c r="L379" i="6"/>
  <c r="O379" i="6" s="1"/>
  <c r="O361" i="6"/>
  <c r="M339" i="6"/>
  <c r="P339" i="6" s="1"/>
  <c r="O328" i="6"/>
  <c r="L322" i="6"/>
  <c r="O322" i="6" s="1"/>
  <c r="L305" i="6"/>
  <c r="L303" i="6" s="1"/>
  <c r="O303" i="6" s="1"/>
  <c r="L268" i="6"/>
  <c r="L266" i="6" s="1"/>
  <c r="O266" i="6" s="1"/>
  <c r="L254" i="6"/>
  <c r="O254" i="6" s="1"/>
  <c r="I238" i="6"/>
  <c r="K238" i="6" s="1"/>
  <c r="N232" i="6"/>
  <c r="L234" i="6"/>
  <c r="I213" i="6"/>
  <c r="K213" i="6" s="1"/>
  <c r="K195" i="6"/>
  <c r="P181" i="6"/>
  <c r="P165" i="6"/>
  <c r="K152" i="6"/>
  <c r="L96" i="6"/>
  <c r="O96" i="6" s="1"/>
  <c r="I82" i="6"/>
  <c r="K82" i="6" s="1"/>
  <c r="J332" i="6"/>
  <c r="K332" i="6" s="1"/>
  <c r="L236" i="6"/>
  <c r="P178" i="6"/>
  <c r="P162" i="6"/>
  <c r="O64" i="6"/>
  <c r="N62" i="6"/>
  <c r="O62" i="6" s="1"/>
  <c r="M322" i="6"/>
  <c r="P322" i="6" s="1"/>
  <c r="P178" i="5"/>
  <c r="K369" i="6"/>
  <c r="M335" i="6"/>
  <c r="M333" i="6" s="1"/>
  <c r="P325" i="6"/>
  <c r="P308" i="6"/>
  <c r="M284" i="6"/>
  <c r="M282" i="6" s="1"/>
  <c r="P271" i="6"/>
  <c r="O191" i="6"/>
  <c r="N189" i="6"/>
  <c r="P189" i="6" s="1"/>
  <c r="N175" i="6"/>
  <c r="N173" i="6" s="1"/>
  <c r="N159" i="6"/>
  <c r="N157" i="6" s="1"/>
  <c r="L131" i="6"/>
  <c r="O131" i="6" s="1"/>
  <c r="P49" i="6"/>
  <c r="N47" i="6"/>
  <c r="O47" i="6" s="1"/>
  <c r="L383" i="6"/>
  <c r="O383" i="6" s="1"/>
  <c r="K371" i="6"/>
  <c r="M362" i="6"/>
  <c r="P362" i="6" s="1"/>
  <c r="M359" i="6"/>
  <c r="P359" i="6" s="1"/>
  <c r="L26" i="6"/>
  <c r="L24" i="6" s="1"/>
  <c r="O24" i="6" s="1"/>
  <c r="P290" i="6"/>
  <c r="L189" i="6"/>
  <c r="M141" i="6"/>
  <c r="P141" i="6" s="1"/>
  <c r="P130" i="6"/>
  <c r="P80" i="6"/>
  <c r="L19" i="6"/>
  <c r="O19" i="6" s="1"/>
  <c r="N379" i="6"/>
  <c r="N377" i="6" s="1"/>
  <c r="K344" i="6"/>
  <c r="N322" i="6"/>
  <c r="N320" i="6" s="1"/>
  <c r="I280" i="6"/>
  <c r="K280" i="6" s="1"/>
  <c r="K183" i="6"/>
  <c r="O176" i="6"/>
  <c r="M128" i="6"/>
  <c r="P128" i="6" s="1"/>
  <c r="N96" i="6"/>
  <c r="N94" i="6" s="1"/>
  <c r="I83" i="6"/>
  <c r="I71" i="6" s="1"/>
  <c r="K71" i="6" s="1"/>
  <c r="N75" i="6"/>
  <c r="L61" i="6"/>
  <c r="L59" i="6" s="1"/>
  <c r="M19" i="6"/>
  <c r="L358" i="6"/>
  <c r="L335" i="6"/>
  <c r="O287" i="6"/>
  <c r="L285" i="6"/>
  <c r="O144" i="6"/>
  <c r="P19" i="6"/>
  <c r="N358" i="6"/>
  <c r="N285" i="6"/>
  <c r="P285" i="6" s="1"/>
  <c r="M362" i="5"/>
  <c r="P362" i="5" s="1"/>
  <c r="K346" i="5"/>
  <c r="M326" i="5"/>
  <c r="P326" i="5" s="1"/>
  <c r="P290" i="5"/>
  <c r="L288" i="5"/>
  <c r="O288" i="5" s="1"/>
  <c r="P385" i="6"/>
  <c r="P382" i="6"/>
  <c r="O378" i="6"/>
  <c r="L362" i="6"/>
  <c r="O362" i="6" s="1"/>
  <c r="L359" i="6"/>
  <c r="O359" i="6" s="1"/>
  <c r="P357" i="6"/>
  <c r="L339" i="6"/>
  <c r="O339" i="6" s="1"/>
  <c r="L336" i="6"/>
  <c r="O336" i="6" s="1"/>
  <c r="P334" i="6"/>
  <c r="N323" i="6"/>
  <c r="P311" i="6"/>
  <c r="P274" i="6"/>
  <c r="L233" i="6"/>
  <c r="P191" i="6"/>
  <c r="M188" i="6"/>
  <c r="K108" i="6"/>
  <c r="I92" i="6"/>
  <c r="K92" i="6" s="1"/>
  <c r="P64" i="6"/>
  <c r="M62" i="6"/>
  <c r="M61" i="6"/>
  <c r="N26" i="6"/>
  <c r="N24" i="6" s="1"/>
  <c r="M379" i="6"/>
  <c r="P379" i="6" s="1"/>
  <c r="I281" i="6"/>
  <c r="K281" i="6" s="1"/>
  <c r="P325" i="5"/>
  <c r="O382" i="6"/>
  <c r="P361" i="6"/>
  <c r="P338" i="6"/>
  <c r="P321" i="6"/>
  <c r="M305" i="6"/>
  <c r="I302" i="6"/>
  <c r="K302" i="6" s="1"/>
  <c r="L288" i="6"/>
  <c r="O288" i="6" s="1"/>
  <c r="N284" i="6"/>
  <c r="N282" i="6" s="1"/>
  <c r="M268" i="6"/>
  <c r="K249" i="6"/>
  <c r="I242" i="6"/>
  <c r="L203" i="6"/>
  <c r="O203" i="6" s="1"/>
  <c r="P126" i="6"/>
  <c r="K83" i="6"/>
  <c r="M26" i="6"/>
  <c r="P26" i="6" s="1"/>
  <c r="I202" i="6"/>
  <c r="K202" i="6" s="1"/>
  <c r="K209" i="6"/>
  <c r="O341" i="6"/>
  <c r="P194" i="6"/>
  <c r="P140" i="6"/>
  <c r="N335" i="6"/>
  <c r="P144" i="6"/>
  <c r="N142" i="6"/>
  <c r="O142" i="6" s="1"/>
  <c r="K260" i="6"/>
  <c r="K230" i="6"/>
  <c r="O187" i="6"/>
  <c r="N127" i="6"/>
  <c r="N125" i="6" s="1"/>
  <c r="P67" i="6"/>
  <c r="M65" i="6"/>
  <c r="P65" i="6" s="1"/>
  <c r="O60" i="6"/>
  <c r="N19" i="6"/>
  <c r="K198" i="6"/>
  <c r="O181" i="6"/>
  <c r="O178" i="6"/>
  <c r="O165" i="6"/>
  <c r="O162" i="6"/>
  <c r="P102" i="6"/>
  <c r="P99" i="6"/>
  <c r="O95" i="6"/>
  <c r="O80" i="6"/>
  <c r="O77" i="6"/>
  <c r="O52" i="6"/>
  <c r="O49" i="6"/>
  <c r="P25" i="6"/>
  <c r="N23" i="6"/>
  <c r="K153" i="6"/>
  <c r="L141" i="6"/>
  <c r="L127" i="6"/>
  <c r="K85" i="6"/>
  <c r="M23" i="6"/>
  <c r="M175" i="6"/>
  <c r="M159" i="6"/>
  <c r="P159" i="6" s="1"/>
  <c r="M74" i="6"/>
  <c r="P74" i="6" s="1"/>
  <c r="M46" i="6"/>
  <c r="L23" i="6"/>
  <c r="L21" i="6" s="1"/>
  <c r="L175" i="6"/>
  <c r="L159" i="6"/>
  <c r="O159" i="6" s="1"/>
  <c r="M96" i="6"/>
  <c r="P96" i="6" s="1"/>
  <c r="L74" i="6"/>
  <c r="O74" i="6" s="1"/>
  <c r="M50" i="6"/>
  <c r="P50" i="6" s="1"/>
  <c r="L46" i="6"/>
  <c r="O22" i="6"/>
  <c r="L50" i="5"/>
  <c r="O50" i="5" s="1"/>
  <c r="P385" i="5"/>
  <c r="L272" i="5"/>
  <c r="O272" i="5" s="1"/>
  <c r="I238" i="5"/>
  <c r="K238" i="5" s="1"/>
  <c r="L203" i="5"/>
  <c r="O203" i="5" s="1"/>
  <c r="I82" i="5"/>
  <c r="K82" i="5" s="1"/>
  <c r="O285" i="5"/>
  <c r="L383" i="5"/>
  <c r="O383" i="5" s="1"/>
  <c r="K371" i="5"/>
  <c r="K368" i="5"/>
  <c r="O361" i="5"/>
  <c r="L175" i="5"/>
  <c r="L173" i="5" s="1"/>
  <c r="I83" i="5"/>
  <c r="I71" i="5" s="1"/>
  <c r="K71" i="5" s="1"/>
  <c r="O67" i="5"/>
  <c r="P47" i="5"/>
  <c r="O144" i="4"/>
  <c r="M322" i="5"/>
  <c r="P322" i="5" s="1"/>
  <c r="L284" i="5"/>
  <c r="L282" i="5" s="1"/>
  <c r="L159" i="5"/>
  <c r="L157" i="5" s="1"/>
  <c r="I93" i="5"/>
  <c r="K93" i="5" s="1"/>
  <c r="N61" i="5"/>
  <c r="N59" i="5" s="1"/>
  <c r="L322" i="5"/>
  <c r="L320" i="5" s="1"/>
  <c r="O320" i="5" s="1"/>
  <c r="L235" i="5"/>
  <c r="N188" i="5"/>
  <c r="N186" i="5" s="1"/>
  <c r="O181" i="5"/>
  <c r="M145" i="5"/>
  <c r="P145" i="5" s="1"/>
  <c r="I137" i="5"/>
  <c r="K137" i="5" s="1"/>
  <c r="O102" i="5"/>
  <c r="P80" i="5"/>
  <c r="L78" i="5"/>
  <c r="O78" i="5" s="1"/>
  <c r="P359" i="5"/>
  <c r="K154" i="5"/>
  <c r="L61" i="5"/>
  <c r="L59" i="5" s="1"/>
  <c r="M96" i="5"/>
  <c r="P96" i="5" s="1"/>
  <c r="L379" i="5"/>
  <c r="O379" i="5" s="1"/>
  <c r="M339" i="5"/>
  <c r="P339" i="5" s="1"/>
  <c r="O308" i="5"/>
  <c r="N268" i="5"/>
  <c r="N266" i="5" s="1"/>
  <c r="L269" i="5"/>
  <c r="O269" i="5" s="1"/>
  <c r="L254" i="5"/>
  <c r="O254" i="5" s="1"/>
  <c r="L233" i="5"/>
  <c r="L222" i="5"/>
  <c r="O222" i="5" s="1"/>
  <c r="L192" i="5"/>
  <c r="O192" i="5" s="1"/>
  <c r="N189" i="5"/>
  <c r="O189" i="5" s="1"/>
  <c r="I168" i="5"/>
  <c r="K168" i="5" s="1"/>
  <c r="O160" i="5"/>
  <c r="L96" i="5"/>
  <c r="L94" i="5" s="1"/>
  <c r="O94" i="5" s="1"/>
  <c r="P77" i="5"/>
  <c r="L46" i="5"/>
  <c r="L44" i="5" s="1"/>
  <c r="J343" i="5"/>
  <c r="K249" i="5"/>
  <c r="K229" i="5"/>
  <c r="L214" i="5"/>
  <c r="O214" i="5" s="1"/>
  <c r="I213" i="5"/>
  <c r="K213" i="5" s="1"/>
  <c r="K153" i="5"/>
  <c r="M100" i="5"/>
  <c r="P100" i="5" s="1"/>
  <c r="N62" i="5"/>
  <c r="O62" i="5" s="1"/>
  <c r="J332" i="5"/>
  <c r="K332" i="5" s="1"/>
  <c r="K369" i="5"/>
  <c r="M335" i="5"/>
  <c r="M333" i="5" s="1"/>
  <c r="L309" i="5"/>
  <c r="O309" i="5" s="1"/>
  <c r="P181" i="5"/>
  <c r="P165" i="5"/>
  <c r="K138" i="5"/>
  <c r="M19" i="5"/>
  <c r="P382" i="5"/>
  <c r="P357" i="5"/>
  <c r="J351" i="5"/>
  <c r="N305" i="5"/>
  <c r="N303" i="5" s="1"/>
  <c r="P308" i="5"/>
  <c r="L306" i="5"/>
  <c r="O306" i="5" s="1"/>
  <c r="I302" i="5"/>
  <c r="K302" i="5" s="1"/>
  <c r="L236" i="5"/>
  <c r="O191" i="5"/>
  <c r="M131" i="5"/>
  <c r="P131" i="5" s="1"/>
  <c r="M128" i="5"/>
  <c r="P128" i="5" s="1"/>
  <c r="O99" i="5"/>
  <c r="L74" i="5"/>
  <c r="O74" i="5" s="1"/>
  <c r="M61" i="5"/>
  <c r="P49" i="5"/>
  <c r="L47" i="5"/>
  <c r="O47" i="5" s="1"/>
  <c r="L19" i="5"/>
  <c r="O19" i="5" s="1"/>
  <c r="N379" i="5"/>
  <c r="N377" i="5" s="1"/>
  <c r="M358" i="5"/>
  <c r="L26" i="5"/>
  <c r="O26" i="5" s="1"/>
  <c r="M97" i="5"/>
  <c r="P97" i="5" s="1"/>
  <c r="I365" i="5"/>
  <c r="K365" i="5" s="1"/>
  <c r="L362" i="5"/>
  <c r="O362" i="5" s="1"/>
  <c r="L359" i="5"/>
  <c r="O359" i="5" s="1"/>
  <c r="L339" i="5"/>
  <c r="O339" i="5" s="1"/>
  <c r="L323" i="5"/>
  <c r="O323" i="5" s="1"/>
  <c r="N176" i="5"/>
  <c r="O176" i="5" s="1"/>
  <c r="O178" i="5"/>
  <c r="P144" i="5"/>
  <c r="N141" i="5"/>
  <c r="N139" i="5" s="1"/>
  <c r="N127" i="5"/>
  <c r="N125" i="5" s="1"/>
  <c r="M26" i="5"/>
  <c r="L358" i="5"/>
  <c r="M305" i="5"/>
  <c r="M303" i="5" s="1"/>
  <c r="P285" i="5"/>
  <c r="L335" i="1"/>
  <c r="L333" i="1" s="1"/>
  <c r="J351" i="4"/>
  <c r="N268" i="4"/>
  <c r="N266" i="4" s="1"/>
  <c r="P77" i="4"/>
  <c r="O382" i="5"/>
  <c r="P361" i="5"/>
  <c r="P338" i="5"/>
  <c r="L326" i="5"/>
  <c r="O326" i="5" s="1"/>
  <c r="O304" i="5"/>
  <c r="N284" i="5"/>
  <c r="N282" i="5" s="1"/>
  <c r="M268" i="5"/>
  <c r="P268" i="5" s="1"/>
  <c r="L234" i="5"/>
  <c r="L243" i="5"/>
  <c r="I195" i="5"/>
  <c r="K195" i="5" s="1"/>
  <c r="O144" i="5"/>
  <c r="I281" i="5"/>
  <c r="K281" i="5" s="1"/>
  <c r="K292" i="5"/>
  <c r="N26" i="5"/>
  <c r="N24" i="5" s="1"/>
  <c r="O287" i="4"/>
  <c r="L233" i="4"/>
  <c r="L214" i="4"/>
  <c r="O214" i="4" s="1"/>
  <c r="O338" i="5"/>
  <c r="K330" i="5"/>
  <c r="N322" i="5"/>
  <c r="N320" i="5" s="1"/>
  <c r="P306" i="5"/>
  <c r="M284" i="5"/>
  <c r="P274" i="5"/>
  <c r="I253" i="5"/>
  <c r="K253" i="5" s="1"/>
  <c r="K260" i="5"/>
  <c r="I242" i="5"/>
  <c r="I202" i="5"/>
  <c r="K202" i="5" s="1"/>
  <c r="K209" i="5"/>
  <c r="O187" i="5"/>
  <c r="N175" i="5"/>
  <c r="N173" i="5" s="1"/>
  <c r="P140" i="5"/>
  <c r="P142" i="5"/>
  <c r="P19" i="5"/>
  <c r="P328" i="4"/>
  <c r="M379" i="5"/>
  <c r="P379" i="5" s="1"/>
  <c r="N358" i="5"/>
  <c r="N356" i="5" s="1"/>
  <c r="K344" i="5"/>
  <c r="N335" i="5"/>
  <c r="L335" i="5"/>
  <c r="O325" i="5"/>
  <c r="P311" i="5"/>
  <c r="P287" i="5"/>
  <c r="P283" i="5"/>
  <c r="O267" i="5"/>
  <c r="P194" i="5"/>
  <c r="M192" i="5"/>
  <c r="P192" i="5" s="1"/>
  <c r="P126" i="5"/>
  <c r="K108" i="5"/>
  <c r="I92" i="5"/>
  <c r="K92" i="5" s="1"/>
  <c r="O60" i="5"/>
  <c r="P174" i="5"/>
  <c r="P64" i="5"/>
  <c r="M62" i="5"/>
  <c r="P194" i="4"/>
  <c r="N336" i="5"/>
  <c r="O336" i="5" s="1"/>
  <c r="N309" i="5"/>
  <c r="K293" i="5"/>
  <c r="P271" i="5"/>
  <c r="P191" i="5"/>
  <c r="M189" i="5"/>
  <c r="M188" i="5"/>
  <c r="P67" i="5"/>
  <c r="M65" i="5"/>
  <c r="P65" i="5" s="1"/>
  <c r="N19" i="5"/>
  <c r="L305" i="5"/>
  <c r="O287" i="5"/>
  <c r="L268" i="5"/>
  <c r="O268" i="5" s="1"/>
  <c r="L188" i="5"/>
  <c r="I169" i="5"/>
  <c r="K169" i="5" s="1"/>
  <c r="O162" i="5"/>
  <c r="M141" i="5"/>
  <c r="M127" i="5"/>
  <c r="P127" i="5" s="1"/>
  <c r="P99" i="5"/>
  <c r="O77" i="5"/>
  <c r="O49" i="5"/>
  <c r="N23" i="5"/>
  <c r="N159" i="5"/>
  <c r="N157" i="5" s="1"/>
  <c r="L141" i="5"/>
  <c r="L127" i="5"/>
  <c r="N74" i="5"/>
  <c r="N72" i="5" s="1"/>
  <c r="N46" i="5"/>
  <c r="N44" i="5" s="1"/>
  <c r="M23" i="5"/>
  <c r="M175" i="5"/>
  <c r="M159" i="5"/>
  <c r="P159" i="5" s="1"/>
  <c r="L145" i="5"/>
  <c r="O145" i="5" s="1"/>
  <c r="L142" i="5"/>
  <c r="O142" i="5" s="1"/>
  <c r="L131" i="5"/>
  <c r="O131" i="5" s="1"/>
  <c r="L128" i="5"/>
  <c r="O128" i="5" s="1"/>
  <c r="N96" i="5"/>
  <c r="N94" i="5" s="1"/>
  <c r="M74" i="5"/>
  <c r="P74" i="5" s="1"/>
  <c r="N50" i="5"/>
  <c r="M46" i="5"/>
  <c r="L23" i="5"/>
  <c r="L21" i="5" s="1"/>
  <c r="K183" i="5"/>
  <c r="K167" i="5"/>
  <c r="K84" i="5"/>
  <c r="O64" i="5"/>
  <c r="M50" i="5"/>
  <c r="P50" i="5" s="1"/>
  <c r="P22" i="5"/>
  <c r="O22" i="5"/>
  <c r="K369" i="4"/>
  <c r="P341" i="4"/>
  <c r="I302" i="4"/>
  <c r="K302" i="4" s="1"/>
  <c r="O162" i="4"/>
  <c r="P47" i="4"/>
  <c r="L192" i="4"/>
  <c r="O192" i="4" s="1"/>
  <c r="O77" i="4"/>
  <c r="K371" i="4"/>
  <c r="K368" i="4"/>
  <c r="I213" i="4"/>
  <c r="K213" i="4" s="1"/>
  <c r="P181" i="4"/>
  <c r="O364" i="4"/>
  <c r="L335" i="4"/>
  <c r="L333" i="4" s="1"/>
  <c r="K209" i="4"/>
  <c r="M145" i="4"/>
  <c r="P145" i="4" s="1"/>
  <c r="N61" i="4"/>
  <c r="N59" i="4" s="1"/>
  <c r="K229" i="4"/>
  <c r="I168" i="4"/>
  <c r="K168" i="4" s="1"/>
  <c r="M96" i="4"/>
  <c r="P96" i="4" s="1"/>
  <c r="O47" i="4"/>
  <c r="L358" i="4"/>
  <c r="L356" i="4" s="1"/>
  <c r="N159" i="4"/>
  <c r="N157" i="4" s="1"/>
  <c r="O385" i="4"/>
  <c r="O382" i="4"/>
  <c r="M322" i="4"/>
  <c r="P322" i="4" s="1"/>
  <c r="O181" i="4"/>
  <c r="P102" i="4"/>
  <c r="O385" i="3"/>
  <c r="P364" i="4"/>
  <c r="P308" i="4"/>
  <c r="L236" i="4"/>
  <c r="O191" i="4"/>
  <c r="O102" i="4"/>
  <c r="I136" i="4"/>
  <c r="K136" i="4" s="1"/>
  <c r="M97" i="4"/>
  <c r="P97" i="4" s="1"/>
  <c r="K154" i="3"/>
  <c r="N379" i="4"/>
  <c r="N377" i="4" s="1"/>
  <c r="O361" i="4"/>
  <c r="K346" i="4"/>
  <c r="O341" i="4"/>
  <c r="P325" i="4"/>
  <c r="M323" i="4"/>
  <c r="P323" i="4" s="1"/>
  <c r="L284" i="4"/>
  <c r="L282" i="4" s="1"/>
  <c r="L243" i="4"/>
  <c r="N188" i="4"/>
  <c r="N186" i="4" s="1"/>
  <c r="L189" i="4"/>
  <c r="O189" i="4" s="1"/>
  <c r="N175" i="4"/>
  <c r="N173" i="4" s="1"/>
  <c r="L159" i="4"/>
  <c r="L157" i="4" s="1"/>
  <c r="K153" i="4"/>
  <c r="L145" i="4"/>
  <c r="O145" i="4" s="1"/>
  <c r="M131" i="4"/>
  <c r="P131" i="4" s="1"/>
  <c r="L96" i="4"/>
  <c r="L97" i="4"/>
  <c r="O97" i="4" s="1"/>
  <c r="P80" i="4"/>
  <c r="N74" i="4"/>
  <c r="N72" i="4" s="1"/>
  <c r="N75" i="4"/>
  <c r="L65" i="4"/>
  <c r="O65" i="4" s="1"/>
  <c r="N62" i="4"/>
  <c r="O62" i="4" s="1"/>
  <c r="L46" i="4"/>
  <c r="L44" i="4" s="1"/>
  <c r="L284" i="3"/>
  <c r="L282" i="3" s="1"/>
  <c r="L339" i="4"/>
  <c r="O339" i="4" s="1"/>
  <c r="P290" i="4"/>
  <c r="L235" i="4"/>
  <c r="P189" i="4"/>
  <c r="M188" i="4"/>
  <c r="M186" i="4" s="1"/>
  <c r="O178" i="4"/>
  <c r="O165" i="4"/>
  <c r="N141" i="4"/>
  <c r="N139" i="4" s="1"/>
  <c r="L131" i="4"/>
  <c r="O131" i="4" s="1"/>
  <c r="M128" i="4"/>
  <c r="P128" i="4" s="1"/>
  <c r="K109" i="4"/>
  <c r="O80" i="4"/>
  <c r="I365" i="4"/>
  <c r="K365" i="4" s="1"/>
  <c r="K344" i="4"/>
  <c r="M335" i="4"/>
  <c r="K330" i="4"/>
  <c r="O290" i="4"/>
  <c r="L272" i="4"/>
  <c r="O272" i="4" s="1"/>
  <c r="L269" i="4"/>
  <c r="O269" i="4" s="1"/>
  <c r="L254" i="4"/>
  <c r="O254" i="4" s="1"/>
  <c r="L141" i="4"/>
  <c r="L139" i="4" s="1"/>
  <c r="P99" i="4"/>
  <c r="I82" i="4"/>
  <c r="L74" i="4"/>
  <c r="O74" i="4" s="1"/>
  <c r="O73" i="4"/>
  <c r="L50" i="4"/>
  <c r="O50" i="4" s="1"/>
  <c r="M19" i="4"/>
  <c r="J332" i="4"/>
  <c r="K332" i="4" s="1"/>
  <c r="I195" i="4"/>
  <c r="K195" i="4" s="1"/>
  <c r="L175" i="4"/>
  <c r="L173" i="4" s="1"/>
  <c r="P162" i="4"/>
  <c r="I137" i="4"/>
  <c r="K137" i="4" s="1"/>
  <c r="O64" i="4"/>
  <c r="P49" i="4"/>
  <c r="L309" i="4"/>
  <c r="O309" i="4" s="1"/>
  <c r="L203" i="4"/>
  <c r="O203" i="4" s="1"/>
  <c r="K242" i="4"/>
  <c r="I231" i="4"/>
  <c r="K231" i="4" s="1"/>
  <c r="M379" i="4"/>
  <c r="N335" i="4"/>
  <c r="N179" i="4"/>
  <c r="M26" i="4"/>
  <c r="M383" i="4"/>
  <c r="P383" i="4" s="1"/>
  <c r="M380" i="4"/>
  <c r="P380" i="4" s="1"/>
  <c r="L379" i="4"/>
  <c r="O379" i="4" s="1"/>
  <c r="N359" i="4"/>
  <c r="O359" i="4" s="1"/>
  <c r="M358" i="4"/>
  <c r="N336" i="4"/>
  <c r="O336" i="4" s="1"/>
  <c r="N322" i="4"/>
  <c r="N320" i="4" s="1"/>
  <c r="N284" i="4"/>
  <c r="N282" i="4" s="1"/>
  <c r="I281" i="4"/>
  <c r="K281" i="4" s="1"/>
  <c r="P271" i="4"/>
  <c r="L234" i="4"/>
  <c r="P191" i="4"/>
  <c r="M175" i="4"/>
  <c r="M173" i="4" s="1"/>
  <c r="N160" i="4"/>
  <c r="O160" i="4" s="1"/>
  <c r="P142" i="4"/>
  <c r="O19" i="4"/>
  <c r="I83" i="4"/>
  <c r="K85" i="4"/>
  <c r="P19" i="4"/>
  <c r="L234" i="3"/>
  <c r="O325" i="4"/>
  <c r="L322" i="4"/>
  <c r="P311" i="4"/>
  <c r="O308" i="4"/>
  <c r="M284" i="4"/>
  <c r="O267" i="4"/>
  <c r="K260" i="4"/>
  <c r="I238" i="4"/>
  <c r="K238" i="4" s="1"/>
  <c r="L222" i="4"/>
  <c r="O222" i="4" s="1"/>
  <c r="P178" i="4"/>
  <c r="P165" i="4"/>
  <c r="P158" i="4"/>
  <c r="P144" i="4"/>
  <c r="L142" i="4"/>
  <c r="O142" i="4" s="1"/>
  <c r="L46" i="3"/>
  <c r="L44" i="3" s="1"/>
  <c r="O378" i="4"/>
  <c r="P357" i="4"/>
  <c r="J343" i="4"/>
  <c r="O334" i="4"/>
  <c r="O328" i="4"/>
  <c r="P321" i="4"/>
  <c r="N305" i="4"/>
  <c r="N303" i="4" s="1"/>
  <c r="P287" i="4"/>
  <c r="I280" i="4"/>
  <c r="K280" i="4" s="1"/>
  <c r="N176" i="4"/>
  <c r="O176" i="4" s="1"/>
  <c r="L128" i="4"/>
  <c r="O128" i="4" s="1"/>
  <c r="O60" i="4"/>
  <c r="L26" i="4"/>
  <c r="O26" i="4" s="1"/>
  <c r="N358" i="4"/>
  <c r="N356" i="4" s="1"/>
  <c r="P341" i="3"/>
  <c r="P361" i="4"/>
  <c r="P338" i="4"/>
  <c r="M305" i="4"/>
  <c r="N285" i="4"/>
  <c r="O285" i="4" s="1"/>
  <c r="P274" i="4"/>
  <c r="P174" i="4"/>
  <c r="N163" i="4"/>
  <c r="N127" i="4"/>
  <c r="N125" i="4" s="1"/>
  <c r="N96" i="4"/>
  <c r="N94" i="4" s="1"/>
  <c r="I92" i="4"/>
  <c r="K92" i="4" s="1"/>
  <c r="P67" i="4"/>
  <c r="M65" i="4"/>
  <c r="P65" i="4" s="1"/>
  <c r="N306" i="4"/>
  <c r="O306" i="4" s="1"/>
  <c r="M268" i="4"/>
  <c r="P268" i="4" s="1"/>
  <c r="K369" i="3"/>
  <c r="N188" i="3"/>
  <c r="N186" i="3" s="1"/>
  <c r="O338" i="4"/>
  <c r="N272" i="4"/>
  <c r="K249" i="4"/>
  <c r="M159" i="4"/>
  <c r="P159" i="4" s="1"/>
  <c r="L127" i="4"/>
  <c r="P64" i="4"/>
  <c r="M62" i="4"/>
  <c r="M61" i="4"/>
  <c r="N26" i="4"/>
  <c r="N24" i="4" s="1"/>
  <c r="N19" i="4"/>
  <c r="L305" i="4"/>
  <c r="L268" i="4"/>
  <c r="O268" i="4" s="1"/>
  <c r="L188" i="4"/>
  <c r="I169" i="4"/>
  <c r="K169" i="4" s="1"/>
  <c r="M141" i="4"/>
  <c r="M127" i="4"/>
  <c r="P127" i="4" s="1"/>
  <c r="L61" i="4"/>
  <c r="O49" i="4"/>
  <c r="N23" i="4"/>
  <c r="N46" i="4"/>
  <c r="N44" i="4" s="1"/>
  <c r="M23" i="4"/>
  <c r="M74" i="4"/>
  <c r="P74" i="4" s="1"/>
  <c r="M46" i="4"/>
  <c r="L23" i="4"/>
  <c r="L21" i="4" s="1"/>
  <c r="K183" i="4"/>
  <c r="K167" i="4"/>
  <c r="K84" i="4"/>
  <c r="M50" i="4"/>
  <c r="P50" i="4" s="1"/>
  <c r="P22" i="4"/>
  <c r="O22" i="4"/>
  <c r="O341" i="3"/>
  <c r="L272" i="3"/>
  <c r="O272" i="3" s="1"/>
  <c r="M335" i="3"/>
  <c r="M333" i="3" s="1"/>
  <c r="L236" i="3"/>
  <c r="I138" i="3"/>
  <c r="K138" i="3" s="1"/>
  <c r="O67" i="3"/>
  <c r="M362" i="3"/>
  <c r="P362" i="3" s="1"/>
  <c r="L305" i="3"/>
  <c r="L303" i="3" s="1"/>
  <c r="N284" i="3"/>
  <c r="N282" i="3" s="1"/>
  <c r="L188" i="3"/>
  <c r="L186" i="3" s="1"/>
  <c r="N268" i="2"/>
  <c r="N266" i="2" s="1"/>
  <c r="K371" i="3"/>
  <c r="O361" i="3"/>
  <c r="J351" i="3"/>
  <c r="K346" i="3"/>
  <c r="L268" i="3"/>
  <c r="O268" i="3" s="1"/>
  <c r="L214" i="3"/>
  <c r="O214" i="3" s="1"/>
  <c r="K109" i="3"/>
  <c r="P77" i="3"/>
  <c r="L379" i="3"/>
  <c r="O379" i="3" s="1"/>
  <c r="P361" i="3"/>
  <c r="O311" i="3"/>
  <c r="L235" i="3"/>
  <c r="K220" i="3"/>
  <c r="O194" i="3"/>
  <c r="K183" i="3"/>
  <c r="P130" i="3"/>
  <c r="O191" i="3"/>
  <c r="K368" i="3"/>
  <c r="L254" i="3"/>
  <c r="O254" i="3" s="1"/>
  <c r="K229" i="3"/>
  <c r="L175" i="3"/>
  <c r="L173" i="3" s="1"/>
  <c r="P47" i="3"/>
  <c r="N141" i="3"/>
  <c r="N139" i="3" s="1"/>
  <c r="M100" i="3"/>
  <c r="P100" i="3" s="1"/>
  <c r="J343" i="3"/>
  <c r="M322" i="3"/>
  <c r="P322" i="3" s="1"/>
  <c r="L203" i="3"/>
  <c r="O203" i="3" s="1"/>
  <c r="M141" i="3"/>
  <c r="N127" i="3"/>
  <c r="N125" i="3" s="1"/>
  <c r="L100" i="3"/>
  <c r="O100" i="3" s="1"/>
  <c r="L74" i="3"/>
  <c r="O74" i="3" s="1"/>
  <c r="N305" i="2"/>
  <c r="N303" i="2" s="1"/>
  <c r="L322" i="3"/>
  <c r="L222" i="3"/>
  <c r="O222" i="3" s="1"/>
  <c r="K209" i="3"/>
  <c r="L189" i="3"/>
  <c r="O189" i="3" s="1"/>
  <c r="N159" i="3"/>
  <c r="N157" i="3" s="1"/>
  <c r="I156" i="3"/>
  <c r="K156" i="3" s="1"/>
  <c r="I137" i="3"/>
  <c r="K137" i="3" s="1"/>
  <c r="M127" i="3"/>
  <c r="P127" i="3" s="1"/>
  <c r="N61" i="3"/>
  <c r="N59" i="3" s="1"/>
  <c r="O382" i="3"/>
  <c r="M358" i="3"/>
  <c r="M356" i="3" s="1"/>
  <c r="O308" i="3"/>
  <c r="L269" i="3"/>
  <c r="O269" i="3" s="1"/>
  <c r="L243" i="3"/>
  <c r="O243" i="3" s="1"/>
  <c r="P189" i="3"/>
  <c r="M26" i="3"/>
  <c r="M24" i="3" s="1"/>
  <c r="P24" i="3" s="1"/>
  <c r="L50" i="3"/>
  <c r="O50" i="3" s="1"/>
  <c r="M159" i="1"/>
  <c r="P159" i="1" s="1"/>
  <c r="P52" i="2"/>
  <c r="L50" i="2"/>
  <c r="O50" i="2" s="1"/>
  <c r="L380" i="3"/>
  <c r="O380" i="3" s="1"/>
  <c r="K365" i="3"/>
  <c r="K344" i="3"/>
  <c r="O338" i="3"/>
  <c r="M336" i="3"/>
  <c r="P328" i="3"/>
  <c r="L326" i="3"/>
  <c r="O326" i="3" s="1"/>
  <c r="L306" i="3"/>
  <c r="O306" i="3" s="1"/>
  <c r="K292" i="3"/>
  <c r="O187" i="3"/>
  <c r="P178" i="3"/>
  <c r="M175" i="3"/>
  <c r="M173" i="3" s="1"/>
  <c r="M96" i="3"/>
  <c r="M97" i="3"/>
  <c r="P97" i="3" s="1"/>
  <c r="L61" i="3"/>
  <c r="L59" i="3" s="1"/>
  <c r="P49" i="3"/>
  <c r="L47" i="3"/>
  <c r="O47" i="3" s="1"/>
  <c r="L19" i="3"/>
  <c r="O364" i="3"/>
  <c r="P338" i="3"/>
  <c r="P325" i="3"/>
  <c r="L323" i="3"/>
  <c r="O323" i="3" s="1"/>
  <c r="P287" i="3"/>
  <c r="M284" i="3"/>
  <c r="O267" i="3"/>
  <c r="N175" i="3"/>
  <c r="N173" i="3" s="1"/>
  <c r="P147" i="3"/>
  <c r="M142" i="3"/>
  <c r="P133" i="3"/>
  <c r="L96" i="3"/>
  <c r="O96" i="3" s="1"/>
  <c r="L97" i="3"/>
  <c r="O97" i="3" s="1"/>
  <c r="I83" i="3"/>
  <c r="N74" i="3"/>
  <c r="N72" i="3" s="1"/>
  <c r="N75" i="3"/>
  <c r="M19" i="3"/>
  <c r="P19" i="3" s="1"/>
  <c r="K330" i="3"/>
  <c r="I319" i="3"/>
  <c r="K319" i="3" s="1"/>
  <c r="N379" i="3"/>
  <c r="N377" i="3" s="1"/>
  <c r="M306" i="3"/>
  <c r="P306" i="3" s="1"/>
  <c r="M305" i="3"/>
  <c r="P308" i="3"/>
  <c r="O283" i="3"/>
  <c r="P378" i="3"/>
  <c r="M269" i="3"/>
  <c r="P269" i="3" s="1"/>
  <c r="M268" i="3"/>
  <c r="P271" i="3"/>
  <c r="N268" i="3"/>
  <c r="N266" i="3" s="1"/>
  <c r="N272" i="3"/>
  <c r="I242" i="3"/>
  <c r="K249" i="3"/>
  <c r="I238" i="3"/>
  <c r="K238" i="3" s="1"/>
  <c r="N305" i="3"/>
  <c r="N303" i="3" s="1"/>
  <c r="N309" i="3"/>
  <c r="N358" i="3"/>
  <c r="N356" i="3" s="1"/>
  <c r="N285" i="3"/>
  <c r="P285" i="3" s="1"/>
  <c r="N192" i="3"/>
  <c r="N176" i="3"/>
  <c r="P176" i="3" s="1"/>
  <c r="L127" i="3"/>
  <c r="O19" i="3"/>
  <c r="O287" i="1"/>
  <c r="M383" i="3"/>
  <c r="P383" i="3" s="1"/>
  <c r="M380" i="3"/>
  <c r="P380" i="3" s="1"/>
  <c r="N359" i="3"/>
  <c r="P359" i="3" s="1"/>
  <c r="N336" i="3"/>
  <c r="N322" i="3"/>
  <c r="N320" i="3" s="1"/>
  <c r="P290" i="3"/>
  <c r="K260" i="3"/>
  <c r="P181" i="3"/>
  <c r="P165" i="3"/>
  <c r="M159" i="3"/>
  <c r="P159" i="3" s="1"/>
  <c r="O144" i="3"/>
  <c r="L131" i="3"/>
  <c r="O131" i="3" s="1"/>
  <c r="P80" i="3"/>
  <c r="L235" i="1"/>
  <c r="L358" i="3"/>
  <c r="L335" i="3"/>
  <c r="J332" i="3"/>
  <c r="K332" i="3" s="1"/>
  <c r="O287" i="3"/>
  <c r="L285" i="3"/>
  <c r="I195" i="3"/>
  <c r="K195" i="3" s="1"/>
  <c r="P191" i="3"/>
  <c r="O178" i="3"/>
  <c r="L176" i="3"/>
  <c r="O174" i="3"/>
  <c r="L141" i="3"/>
  <c r="I82" i="3"/>
  <c r="O60" i="3"/>
  <c r="L26" i="3"/>
  <c r="O26" i="3" s="1"/>
  <c r="P144" i="3"/>
  <c r="N142" i="3"/>
  <c r="K369" i="2"/>
  <c r="M379" i="3"/>
  <c r="P379" i="3" s="1"/>
  <c r="L288" i="2"/>
  <c r="O288" i="2" s="1"/>
  <c r="P311" i="3"/>
  <c r="P274" i="3"/>
  <c r="L233" i="3"/>
  <c r="P194" i="3"/>
  <c r="P162" i="3"/>
  <c r="P140" i="3"/>
  <c r="I92" i="3"/>
  <c r="K92" i="3" s="1"/>
  <c r="P67" i="3"/>
  <c r="M65" i="3"/>
  <c r="P65" i="3" s="1"/>
  <c r="O62" i="3"/>
  <c r="N335" i="3"/>
  <c r="P341" i="1"/>
  <c r="P321" i="3"/>
  <c r="I302" i="3"/>
  <c r="K302" i="3" s="1"/>
  <c r="K293" i="3"/>
  <c r="L288" i="3"/>
  <c r="O288" i="3" s="1"/>
  <c r="M188" i="3"/>
  <c r="L179" i="3"/>
  <c r="O179" i="3" s="1"/>
  <c r="L163" i="3"/>
  <c r="O163" i="3" s="1"/>
  <c r="O165" i="3"/>
  <c r="P158" i="3"/>
  <c r="L145" i="3"/>
  <c r="O145" i="3" s="1"/>
  <c r="K136" i="3"/>
  <c r="L128" i="3"/>
  <c r="O128" i="3" s="1"/>
  <c r="N96" i="3"/>
  <c r="N94" i="3" s="1"/>
  <c r="M75" i="3"/>
  <c r="M74" i="3"/>
  <c r="P64" i="3"/>
  <c r="M62" i="3"/>
  <c r="P62" i="3" s="1"/>
  <c r="M61" i="3"/>
  <c r="N26" i="3"/>
  <c r="N24" i="3" s="1"/>
  <c r="N19" i="3"/>
  <c r="O162" i="3"/>
  <c r="P99" i="3"/>
  <c r="O80" i="3"/>
  <c r="O77" i="3"/>
  <c r="O49" i="3"/>
  <c r="P25" i="3"/>
  <c r="N23" i="3"/>
  <c r="N46" i="3"/>
  <c r="N44" i="3" s="1"/>
  <c r="M23" i="3"/>
  <c r="M46" i="3"/>
  <c r="L23" i="3"/>
  <c r="L159" i="3"/>
  <c r="O159" i="3" s="1"/>
  <c r="K84" i="3"/>
  <c r="O64" i="3"/>
  <c r="M50" i="3"/>
  <c r="P50" i="3" s="1"/>
  <c r="O22" i="3"/>
  <c r="J351" i="2"/>
  <c r="K346" i="2"/>
  <c r="L222" i="2"/>
  <c r="O222" i="2" s="1"/>
  <c r="L203" i="2"/>
  <c r="O203" i="2" s="1"/>
  <c r="K368" i="2"/>
  <c r="O385" i="2"/>
  <c r="O382" i="2"/>
  <c r="P147" i="2"/>
  <c r="M142" i="1"/>
  <c r="P142" i="1" s="1"/>
  <c r="M268" i="1"/>
  <c r="P268" i="1" s="1"/>
  <c r="P328" i="2"/>
  <c r="P341" i="2"/>
  <c r="P338" i="2"/>
  <c r="O191" i="2"/>
  <c r="L127" i="2"/>
  <c r="O127" i="2" s="1"/>
  <c r="I93" i="2"/>
  <c r="K93" i="2" s="1"/>
  <c r="M305" i="1"/>
  <c r="M303" i="1" s="1"/>
  <c r="J343" i="2"/>
  <c r="P308" i="2"/>
  <c r="L284" i="2"/>
  <c r="L282" i="2" s="1"/>
  <c r="L243" i="2"/>
  <c r="O243" i="2" s="1"/>
  <c r="K229" i="2"/>
  <c r="L188" i="2"/>
  <c r="L186" i="2" s="1"/>
  <c r="M141" i="2"/>
  <c r="M139" i="2" s="1"/>
  <c r="P133" i="2"/>
  <c r="L272" i="2"/>
  <c r="O272" i="2" s="1"/>
  <c r="L269" i="2"/>
  <c r="O269" i="2" s="1"/>
  <c r="I253" i="2"/>
  <c r="K253" i="2" s="1"/>
  <c r="P80" i="2"/>
  <c r="O47" i="2"/>
  <c r="O364" i="2"/>
  <c r="O361" i="2"/>
  <c r="N175" i="2"/>
  <c r="N173" i="2" s="1"/>
  <c r="M100" i="2"/>
  <c r="P100" i="2" s="1"/>
  <c r="L78" i="2"/>
  <c r="O78" i="2" s="1"/>
  <c r="O67" i="2"/>
  <c r="O64" i="2"/>
  <c r="M74" i="1"/>
  <c r="P74" i="1" s="1"/>
  <c r="K344" i="1"/>
  <c r="K344" i="2"/>
  <c r="L305" i="2"/>
  <c r="L303" i="2" s="1"/>
  <c r="L192" i="2"/>
  <c r="O192" i="2" s="1"/>
  <c r="M127" i="2"/>
  <c r="L96" i="2"/>
  <c r="O96" i="2" s="1"/>
  <c r="I238" i="2"/>
  <c r="K238" i="2" s="1"/>
  <c r="P75" i="2"/>
  <c r="N188" i="2"/>
  <c r="N186" i="2" s="1"/>
  <c r="I156" i="2"/>
  <c r="K156" i="2" s="1"/>
  <c r="L145" i="2"/>
  <c r="O145" i="2" s="1"/>
  <c r="L128" i="2"/>
  <c r="O128" i="2" s="1"/>
  <c r="K371" i="2"/>
  <c r="P361" i="2"/>
  <c r="O341" i="2"/>
  <c r="L322" i="2"/>
  <c r="O308" i="2"/>
  <c r="I302" i="2"/>
  <c r="K302" i="2" s="1"/>
  <c r="L235" i="2"/>
  <c r="L236" i="2"/>
  <c r="K195" i="2"/>
  <c r="L179" i="2"/>
  <c r="O179" i="2" s="1"/>
  <c r="P165" i="2"/>
  <c r="K154" i="2"/>
  <c r="O144" i="2"/>
  <c r="L131" i="2"/>
  <c r="O131" i="2" s="1"/>
  <c r="M96" i="2"/>
  <c r="P96" i="2" s="1"/>
  <c r="I82" i="2"/>
  <c r="K82" i="2" s="1"/>
  <c r="L74" i="2"/>
  <c r="L72" i="2" s="1"/>
  <c r="P49" i="2"/>
  <c r="M358" i="2"/>
  <c r="M356" i="2" s="1"/>
  <c r="P290" i="2"/>
  <c r="I242" i="2"/>
  <c r="K242" i="2" s="1"/>
  <c r="K220" i="2"/>
  <c r="P178" i="2"/>
  <c r="N176" i="2"/>
  <c r="O176" i="2" s="1"/>
  <c r="L163" i="2"/>
  <c r="O163" i="2" s="1"/>
  <c r="M26" i="2"/>
  <c r="M24" i="2" s="1"/>
  <c r="P24" i="2" s="1"/>
  <c r="N46" i="2"/>
  <c r="N44" i="2" s="1"/>
  <c r="N19" i="2"/>
  <c r="L336" i="1"/>
  <c r="K365" i="2"/>
  <c r="P364" i="2"/>
  <c r="O338" i="2"/>
  <c r="L326" i="2"/>
  <c r="O326" i="2" s="1"/>
  <c r="L285" i="2"/>
  <c r="O285" i="2" s="1"/>
  <c r="L234" i="2"/>
  <c r="N159" i="2"/>
  <c r="N157" i="2" s="1"/>
  <c r="O160" i="2"/>
  <c r="L141" i="2"/>
  <c r="L139" i="2" s="1"/>
  <c r="O130" i="2"/>
  <c r="I83" i="2"/>
  <c r="K83" i="2" s="1"/>
  <c r="P47" i="2"/>
  <c r="O178" i="1"/>
  <c r="N188" i="1"/>
  <c r="N186" i="1" s="1"/>
  <c r="I280" i="1"/>
  <c r="K280" i="1" s="1"/>
  <c r="P325" i="2"/>
  <c r="L233" i="2"/>
  <c r="P77" i="2"/>
  <c r="L61" i="2"/>
  <c r="L59" i="2" s="1"/>
  <c r="L46" i="2"/>
  <c r="L44" i="2" s="1"/>
  <c r="L141" i="1"/>
  <c r="O141" i="1" s="1"/>
  <c r="N159" i="1"/>
  <c r="N157" i="1" s="1"/>
  <c r="M163" i="1"/>
  <c r="P163" i="1" s="1"/>
  <c r="L188" i="1"/>
  <c r="L186" i="1" s="1"/>
  <c r="L379" i="2"/>
  <c r="O379" i="2" s="1"/>
  <c r="M335" i="2"/>
  <c r="M333" i="2" s="1"/>
  <c r="M322" i="2"/>
  <c r="P322" i="2" s="1"/>
  <c r="O311" i="2"/>
  <c r="K249" i="2"/>
  <c r="L214" i="2"/>
  <c r="O214" i="2" s="1"/>
  <c r="L189" i="2"/>
  <c r="L175" i="2"/>
  <c r="O174" i="2"/>
  <c r="L159" i="2"/>
  <c r="M128" i="2"/>
  <c r="P128" i="2" s="1"/>
  <c r="N74" i="2"/>
  <c r="N72" i="2" s="1"/>
  <c r="O75" i="2"/>
  <c r="K153" i="1"/>
  <c r="I138" i="1"/>
  <c r="K138" i="1" s="1"/>
  <c r="M176" i="1"/>
  <c r="P176" i="1" s="1"/>
  <c r="M175" i="1"/>
  <c r="M173" i="1" s="1"/>
  <c r="N305" i="1"/>
  <c r="N303" i="1" s="1"/>
  <c r="N309" i="1"/>
  <c r="P378" i="2"/>
  <c r="I156" i="1"/>
  <c r="K156" i="1" s="1"/>
  <c r="K169" i="1"/>
  <c r="P133" i="1"/>
  <c r="M131" i="1"/>
  <c r="P131" i="1" s="1"/>
  <c r="P147" i="1"/>
  <c r="M141" i="1"/>
  <c r="P141" i="1" s="1"/>
  <c r="K330" i="2"/>
  <c r="I319" i="2"/>
  <c r="K319" i="2" s="1"/>
  <c r="N379" i="2"/>
  <c r="N377" i="2" s="1"/>
  <c r="N97" i="1"/>
  <c r="N96" i="1"/>
  <c r="N94" i="1" s="1"/>
  <c r="N272" i="2"/>
  <c r="N62" i="2"/>
  <c r="O62" i="2" s="1"/>
  <c r="P80" i="1"/>
  <c r="O144" i="1"/>
  <c r="N358" i="2"/>
  <c r="N356" i="2" s="1"/>
  <c r="M268" i="2"/>
  <c r="P268" i="2" s="1"/>
  <c r="M188" i="2"/>
  <c r="M186" i="2" s="1"/>
  <c r="I138" i="2"/>
  <c r="K138" i="2" s="1"/>
  <c r="P64" i="2"/>
  <c r="M62" i="2"/>
  <c r="M305" i="2"/>
  <c r="M127" i="1"/>
  <c r="P127" i="1" s="1"/>
  <c r="O130" i="1"/>
  <c r="M284" i="1"/>
  <c r="M282" i="1" s="1"/>
  <c r="M379" i="2"/>
  <c r="P379" i="2" s="1"/>
  <c r="N335" i="2"/>
  <c r="I83" i="1"/>
  <c r="I71" i="1" s="1"/>
  <c r="K71" i="1" s="1"/>
  <c r="L222" i="1"/>
  <c r="O222" i="1" s="1"/>
  <c r="L268" i="1"/>
  <c r="O268" i="1" s="1"/>
  <c r="J343" i="1"/>
  <c r="O361" i="1"/>
  <c r="K369" i="1"/>
  <c r="M383" i="2"/>
  <c r="P383" i="2" s="1"/>
  <c r="M380" i="2"/>
  <c r="P380" i="2" s="1"/>
  <c r="N359" i="2"/>
  <c r="P359" i="2" s="1"/>
  <c r="N336" i="2"/>
  <c r="P336" i="2" s="1"/>
  <c r="O325" i="2"/>
  <c r="N322" i="2"/>
  <c r="N320" i="2" s="1"/>
  <c r="N306" i="2"/>
  <c r="O306" i="2" s="1"/>
  <c r="O304" i="2"/>
  <c r="N284" i="2"/>
  <c r="N282" i="2" s="1"/>
  <c r="I281" i="2"/>
  <c r="K281" i="2" s="1"/>
  <c r="P271" i="2"/>
  <c r="K230" i="2"/>
  <c r="P191" i="2"/>
  <c r="I172" i="2"/>
  <c r="K172" i="2" s="1"/>
  <c r="P162" i="2"/>
  <c r="L100" i="2"/>
  <c r="O100" i="2" s="1"/>
  <c r="N61" i="2"/>
  <c r="N59" i="2" s="1"/>
  <c r="L358" i="2"/>
  <c r="L335" i="2"/>
  <c r="J332" i="2"/>
  <c r="K332" i="2" s="1"/>
  <c r="P311" i="2"/>
  <c r="M284" i="2"/>
  <c r="M282" i="2" s="1"/>
  <c r="O267" i="2"/>
  <c r="N189" i="2"/>
  <c r="N141" i="2"/>
  <c r="I137" i="2"/>
  <c r="K137" i="2" s="1"/>
  <c r="M61" i="2"/>
  <c r="M59" i="2" s="1"/>
  <c r="N26" i="2"/>
  <c r="N24" i="2" s="1"/>
  <c r="O25" i="2"/>
  <c r="P19" i="2"/>
  <c r="L19" i="2"/>
  <c r="P285" i="2"/>
  <c r="L254" i="2"/>
  <c r="O254" i="2" s="1"/>
  <c r="P49" i="1"/>
  <c r="P287" i="2"/>
  <c r="P283" i="2"/>
  <c r="I280" i="2"/>
  <c r="K280" i="2" s="1"/>
  <c r="I202" i="2"/>
  <c r="K202" i="2" s="1"/>
  <c r="P187" i="2"/>
  <c r="M175" i="2"/>
  <c r="P140" i="2"/>
  <c r="N322" i="1"/>
  <c r="N320" i="1" s="1"/>
  <c r="I332" i="1"/>
  <c r="M335" i="1"/>
  <c r="M333" i="1" s="1"/>
  <c r="N358" i="1"/>
  <c r="N356" i="1" s="1"/>
  <c r="P321" i="2"/>
  <c r="N309" i="2"/>
  <c r="P274" i="2"/>
  <c r="P194" i="2"/>
  <c r="P181" i="2"/>
  <c r="K167" i="2"/>
  <c r="I169" i="2"/>
  <c r="K169" i="2" s="1"/>
  <c r="M159" i="2"/>
  <c r="P159" i="2" s="1"/>
  <c r="P144" i="2"/>
  <c r="N142" i="2"/>
  <c r="P142" i="2" s="1"/>
  <c r="N127" i="2"/>
  <c r="N125" i="2" s="1"/>
  <c r="K108" i="2"/>
  <c r="L23" i="2"/>
  <c r="L21" i="2" s="1"/>
  <c r="O99" i="2"/>
  <c r="N96" i="2"/>
  <c r="N94" i="2" s="1"/>
  <c r="P67" i="2"/>
  <c r="M65" i="2"/>
  <c r="P65" i="2" s="1"/>
  <c r="P60" i="2"/>
  <c r="L26" i="2"/>
  <c r="O26" i="2" s="1"/>
  <c r="O287" i="2"/>
  <c r="L268" i="2"/>
  <c r="O268" i="2" s="1"/>
  <c r="K198" i="2"/>
  <c r="O178" i="2"/>
  <c r="O162" i="2"/>
  <c r="P99" i="2"/>
  <c r="O77" i="2"/>
  <c r="O49" i="2"/>
  <c r="N23" i="2"/>
  <c r="K85" i="2"/>
  <c r="M23" i="2"/>
  <c r="M74" i="2"/>
  <c r="M46" i="2"/>
  <c r="P22" i="2"/>
  <c r="M47" i="1"/>
  <c r="M125" i="1"/>
  <c r="P125" i="1" s="1"/>
  <c r="M128" i="1"/>
  <c r="P128" i="1" s="1"/>
  <c r="N175" i="1"/>
  <c r="N173" i="1" s="1"/>
  <c r="I195" i="1"/>
  <c r="K195" i="1" s="1"/>
  <c r="M285" i="1"/>
  <c r="P285" i="1" s="1"/>
  <c r="N284" i="1"/>
  <c r="N282" i="1" s="1"/>
  <c r="M358" i="1"/>
  <c r="M356" i="1" s="1"/>
  <c r="P359" i="1"/>
  <c r="L379" i="1"/>
  <c r="M50" i="1"/>
  <c r="P50" i="1" s="1"/>
  <c r="P287" i="1"/>
  <c r="L362" i="1"/>
  <c r="O362" i="1" s="1"/>
  <c r="O382" i="1"/>
  <c r="O133" i="1"/>
  <c r="O311" i="1"/>
  <c r="P364" i="1"/>
  <c r="M323" i="1"/>
  <c r="P323" i="1" s="1"/>
  <c r="J351" i="1"/>
  <c r="M46" i="1"/>
  <c r="M44" i="1" s="1"/>
  <c r="M23" i="1"/>
  <c r="M21" i="1" s="1"/>
  <c r="O64" i="1"/>
  <c r="N62" i="1"/>
  <c r="O62" i="1" s="1"/>
  <c r="M288" i="1"/>
  <c r="P288" i="1" s="1"/>
  <c r="P290" i="1"/>
  <c r="L306" i="1"/>
  <c r="O306" i="1" s="1"/>
  <c r="L305" i="1"/>
  <c r="O308" i="1"/>
  <c r="K183" i="1"/>
  <c r="I172" i="1"/>
  <c r="K172" i="1" s="1"/>
  <c r="N336" i="1"/>
  <c r="P336" i="1" s="1"/>
  <c r="N335" i="1"/>
  <c r="O338" i="1"/>
  <c r="L145" i="1"/>
  <c r="O145" i="1" s="1"/>
  <c r="O147" i="1"/>
  <c r="K371" i="1"/>
  <c r="I365" i="1"/>
  <c r="K365" i="1" s="1"/>
  <c r="N61" i="1"/>
  <c r="N59" i="1" s="1"/>
  <c r="O77" i="1"/>
  <c r="L75" i="1"/>
  <c r="O75" i="1" s="1"/>
  <c r="N50" i="1"/>
  <c r="N46" i="1"/>
  <c r="N44" i="1" s="1"/>
  <c r="P77" i="1"/>
  <c r="M75" i="1"/>
  <c r="P75" i="1" s="1"/>
  <c r="O162" i="1"/>
  <c r="L160" i="1"/>
  <c r="O160" i="1" s="1"/>
  <c r="M383" i="1"/>
  <c r="P383" i="1" s="1"/>
  <c r="M379" i="1"/>
  <c r="P385" i="1"/>
  <c r="I302" i="1"/>
  <c r="K302" i="1" s="1"/>
  <c r="K314" i="1"/>
  <c r="L61" i="1"/>
  <c r="L59" i="1" s="1"/>
  <c r="O67" i="1"/>
  <c r="L65" i="1"/>
  <c r="O65" i="1" s="1"/>
  <c r="K109" i="1"/>
  <c r="I93" i="1"/>
  <c r="K93" i="1" s="1"/>
  <c r="I136" i="1"/>
  <c r="K136" i="1" s="1"/>
  <c r="K154" i="1"/>
  <c r="N74" i="1"/>
  <c r="N72" i="1" s="1"/>
  <c r="I82" i="1"/>
  <c r="I70" i="1" s="1"/>
  <c r="K70" i="1" s="1"/>
  <c r="L127" i="1"/>
  <c r="N141" i="1"/>
  <c r="N139" i="1" s="1"/>
  <c r="M145" i="1"/>
  <c r="P145" i="1" s="1"/>
  <c r="N189" i="1"/>
  <c r="O189" i="1" s="1"/>
  <c r="L192" i="1"/>
  <c r="O192" i="1" s="1"/>
  <c r="L214" i="1"/>
  <c r="O214" i="1" s="1"/>
  <c r="L234" i="1"/>
  <c r="O271" i="1"/>
  <c r="O274" i="1"/>
  <c r="N288" i="1"/>
  <c r="L323" i="1"/>
  <c r="O323" i="1" s="1"/>
  <c r="P338" i="1"/>
  <c r="J332" i="1"/>
  <c r="P382" i="1"/>
  <c r="O385" i="1"/>
  <c r="N26" i="1"/>
  <c r="N24" i="1" s="1"/>
  <c r="M160" i="1"/>
  <c r="P160" i="1" s="1"/>
  <c r="P162" i="1"/>
  <c r="L176" i="1"/>
  <c r="O176" i="1" s="1"/>
  <c r="L339" i="1"/>
  <c r="O339" i="1" s="1"/>
  <c r="L359" i="1"/>
  <c r="O359" i="1" s="1"/>
  <c r="M97" i="1"/>
  <c r="P97" i="1" s="1"/>
  <c r="P178" i="1"/>
  <c r="L203" i="1"/>
  <c r="O203" i="1" s="1"/>
  <c r="L236" i="1"/>
  <c r="I238" i="1"/>
  <c r="K238" i="1" s="1"/>
  <c r="K292" i="1"/>
  <c r="M326" i="1"/>
  <c r="P326" i="1" s="1"/>
  <c r="K346" i="1"/>
  <c r="L358" i="1"/>
  <c r="N23" i="1"/>
  <c r="N21" i="1" s="1"/>
  <c r="M179" i="1"/>
  <c r="P179" i="1" s="1"/>
  <c r="P361" i="1"/>
  <c r="K368" i="1"/>
  <c r="O19" i="1"/>
  <c r="L78" i="1"/>
  <c r="O78" i="1" s="1"/>
  <c r="L96" i="1"/>
  <c r="O96" i="1" s="1"/>
  <c r="M100" i="1"/>
  <c r="P100" i="1" s="1"/>
  <c r="M188" i="1"/>
  <c r="O191" i="1"/>
  <c r="K220" i="1"/>
  <c r="L243" i="1"/>
  <c r="N379" i="1"/>
  <c r="N377" i="1" s="1"/>
  <c r="L46" i="1"/>
  <c r="L50" i="1"/>
  <c r="O50" i="1" s="1"/>
  <c r="M62" i="1"/>
  <c r="P64" i="1"/>
  <c r="L74" i="1"/>
  <c r="K84" i="1"/>
  <c r="K87" i="1"/>
  <c r="M96" i="1"/>
  <c r="I202" i="1"/>
  <c r="K202" i="1" s="1"/>
  <c r="I221" i="1"/>
  <c r="K221" i="1" s="1"/>
  <c r="L284" i="1"/>
  <c r="M306" i="1"/>
  <c r="P306" i="1" s="1"/>
  <c r="P308" i="1"/>
  <c r="M322" i="1"/>
  <c r="M65" i="1"/>
  <c r="P65" i="1" s="1"/>
  <c r="P67" i="1"/>
  <c r="M26" i="1"/>
  <c r="P26" i="1" s="1"/>
  <c r="L159" i="1"/>
  <c r="L179" i="1"/>
  <c r="O179" i="1" s="1"/>
  <c r="L322" i="1"/>
  <c r="O322" i="1" s="1"/>
  <c r="P25" i="1"/>
  <c r="O95" i="1"/>
  <c r="K108" i="1"/>
  <c r="N127" i="1"/>
  <c r="N125" i="1" s="1"/>
  <c r="M192" i="1"/>
  <c r="P192" i="1" s="1"/>
  <c r="P194" i="1"/>
  <c r="K260" i="1"/>
  <c r="M272" i="1"/>
  <c r="P272" i="1" s="1"/>
  <c r="P274" i="1"/>
  <c r="L288" i="1"/>
  <c r="O288" i="1" s="1"/>
  <c r="I319" i="1"/>
  <c r="K319" i="1" s="1"/>
  <c r="O321" i="1"/>
  <c r="L163" i="1"/>
  <c r="O163" i="1" s="1"/>
  <c r="L175" i="1"/>
  <c r="O49" i="1"/>
  <c r="L23" i="1"/>
  <c r="L21" i="1" s="1"/>
  <c r="M61" i="1"/>
  <c r="L97" i="1"/>
  <c r="O97" i="1" s="1"/>
  <c r="I137" i="1"/>
  <c r="K137" i="1" s="1"/>
  <c r="L233" i="1"/>
  <c r="L254" i="1"/>
  <c r="O254" i="1" s="1"/>
  <c r="N268" i="1"/>
  <c r="N266" i="1" s="1"/>
  <c r="M309" i="1"/>
  <c r="P309" i="1" s="1"/>
  <c r="P311" i="1"/>
  <c r="M189" i="1"/>
  <c r="P191" i="1"/>
  <c r="P19" i="1"/>
  <c r="L26" i="1"/>
  <c r="L100" i="1"/>
  <c r="O100" i="1" s="1"/>
  <c r="M269" i="1"/>
  <c r="P269" i="1" s="1"/>
  <c r="P271" i="1"/>
  <c r="L285" i="1"/>
  <c r="O285" i="1" s="1"/>
  <c r="L326" i="1"/>
  <c r="O326" i="1" s="1"/>
  <c r="N47" i="1"/>
  <c r="O47" i="1" s="1"/>
  <c r="N75" i="1"/>
  <c r="I242" i="1"/>
  <c r="O46" i="16" l="1"/>
  <c r="K83" i="17"/>
  <c r="P358" i="17"/>
  <c r="N20" i="16"/>
  <c r="N18" i="16" s="1"/>
  <c r="O159" i="17"/>
  <c r="L125" i="16"/>
  <c r="O125" i="16" s="1"/>
  <c r="O188" i="17"/>
  <c r="O358" i="17"/>
  <c r="P173" i="17"/>
  <c r="N186" i="17"/>
  <c r="K332" i="16"/>
  <c r="P46" i="17"/>
  <c r="P333" i="17"/>
  <c r="I70" i="17"/>
  <c r="K70" i="17" s="1"/>
  <c r="L232" i="17"/>
  <c r="O186" i="17"/>
  <c r="L377" i="16"/>
  <c r="O377" i="16" s="1"/>
  <c r="M125" i="17"/>
  <c r="P125" i="17" s="1"/>
  <c r="O189" i="16"/>
  <c r="P282" i="16"/>
  <c r="P62" i="17"/>
  <c r="P139" i="17"/>
  <c r="M139" i="15"/>
  <c r="P139" i="15" s="1"/>
  <c r="O284" i="16"/>
  <c r="L94" i="17"/>
  <c r="O94" i="17" s="1"/>
  <c r="P305" i="17"/>
  <c r="O335" i="17"/>
  <c r="O189" i="17"/>
  <c r="O303" i="17"/>
  <c r="O61" i="17"/>
  <c r="O305" i="17"/>
  <c r="L266" i="17"/>
  <c r="O266" i="17" s="1"/>
  <c r="P335" i="16"/>
  <c r="O356" i="16"/>
  <c r="M24" i="17"/>
  <c r="P24" i="17" s="1"/>
  <c r="M125" i="16"/>
  <c r="P125" i="16" s="1"/>
  <c r="M157" i="17"/>
  <c r="P157" i="17" s="1"/>
  <c r="P322" i="17"/>
  <c r="L377" i="17"/>
  <c r="O377" i="17" s="1"/>
  <c r="M266" i="15"/>
  <c r="P266" i="15" s="1"/>
  <c r="P305" i="16"/>
  <c r="P335" i="17"/>
  <c r="M320" i="17"/>
  <c r="P320" i="17" s="1"/>
  <c r="N20" i="17"/>
  <c r="N18" i="17" s="1"/>
  <c r="M94" i="17"/>
  <c r="P94" i="17" s="1"/>
  <c r="P96" i="17"/>
  <c r="P379" i="17"/>
  <c r="M377" i="17"/>
  <c r="P377" i="17" s="1"/>
  <c r="O175" i="16"/>
  <c r="L20" i="17"/>
  <c r="O23" i="17"/>
  <c r="M20" i="17"/>
  <c r="P23" i="17"/>
  <c r="M21" i="17"/>
  <c r="N21" i="17"/>
  <c r="O21" i="17" s="1"/>
  <c r="M59" i="17"/>
  <c r="P59" i="17" s="1"/>
  <c r="P61" i="17"/>
  <c r="M282" i="17"/>
  <c r="P282" i="17" s="1"/>
  <c r="O59" i="17"/>
  <c r="P175" i="17"/>
  <c r="M356" i="17"/>
  <c r="P356" i="17" s="1"/>
  <c r="P141" i="17"/>
  <c r="O333" i="17"/>
  <c r="M44" i="17"/>
  <c r="M303" i="17"/>
  <c r="P303" i="17" s="1"/>
  <c r="O139" i="16"/>
  <c r="L44" i="17"/>
  <c r="O46" i="17"/>
  <c r="P74" i="17"/>
  <c r="N72" i="17"/>
  <c r="P72" i="17" s="1"/>
  <c r="M186" i="17"/>
  <c r="P188" i="17"/>
  <c r="O127" i="17"/>
  <c r="L125" i="17"/>
  <c r="O125" i="17" s="1"/>
  <c r="I231" i="17"/>
  <c r="K242" i="17"/>
  <c r="O322" i="17"/>
  <c r="L320" i="17"/>
  <c r="O320" i="17" s="1"/>
  <c r="M266" i="17"/>
  <c r="P266" i="17" s="1"/>
  <c r="O356" i="17"/>
  <c r="L157" i="17"/>
  <c r="O157" i="17" s="1"/>
  <c r="L72" i="17"/>
  <c r="O72" i="17" s="1"/>
  <c r="O74" i="17"/>
  <c r="O141" i="17"/>
  <c r="L139" i="17"/>
  <c r="O139" i="17" s="1"/>
  <c r="O284" i="17"/>
  <c r="L282" i="17"/>
  <c r="O282" i="17" s="1"/>
  <c r="L24" i="17"/>
  <c r="O24" i="17" s="1"/>
  <c r="O26" i="17"/>
  <c r="O175" i="17"/>
  <c r="L173" i="17"/>
  <c r="O173" i="17" s="1"/>
  <c r="I70" i="16"/>
  <c r="K70" i="16" s="1"/>
  <c r="O47" i="16"/>
  <c r="M157" i="15"/>
  <c r="P157" i="15" s="1"/>
  <c r="P379" i="16"/>
  <c r="O188" i="15"/>
  <c r="O358" i="16"/>
  <c r="P284" i="16"/>
  <c r="O61" i="16"/>
  <c r="L94" i="15"/>
  <c r="O94" i="15" s="1"/>
  <c r="O188" i="16"/>
  <c r="O59" i="16"/>
  <c r="P356" i="16"/>
  <c r="P141" i="16"/>
  <c r="O61" i="15"/>
  <c r="L44" i="16"/>
  <c r="O44" i="16" s="1"/>
  <c r="M24" i="16"/>
  <c r="P24" i="16" s="1"/>
  <c r="L320" i="16"/>
  <c r="O320" i="16" s="1"/>
  <c r="M139" i="16"/>
  <c r="P139" i="16" s="1"/>
  <c r="P358" i="16"/>
  <c r="O96" i="16"/>
  <c r="O46" i="14"/>
  <c r="O141" i="16"/>
  <c r="P175" i="16"/>
  <c r="M173" i="16"/>
  <c r="P173" i="16" s="1"/>
  <c r="K242" i="16"/>
  <c r="I231" i="16"/>
  <c r="P142" i="16"/>
  <c r="L173" i="16"/>
  <c r="O173" i="16" s="1"/>
  <c r="L266" i="16"/>
  <c r="O266" i="16" s="1"/>
  <c r="N303" i="16"/>
  <c r="P303" i="16" s="1"/>
  <c r="P284" i="15"/>
  <c r="O23" i="16"/>
  <c r="L20" i="16"/>
  <c r="L21" i="16"/>
  <c r="O21" i="16" s="1"/>
  <c r="M20" i="16"/>
  <c r="P23" i="16"/>
  <c r="M94" i="16"/>
  <c r="P94" i="16" s="1"/>
  <c r="N24" i="16"/>
  <c r="L72" i="16"/>
  <c r="O72" i="16" s="1"/>
  <c r="L282" i="16"/>
  <c r="O282" i="16" s="1"/>
  <c r="P19" i="16"/>
  <c r="M320" i="16"/>
  <c r="P320" i="16" s="1"/>
  <c r="P62" i="15"/>
  <c r="P46" i="16"/>
  <c r="M44" i="16"/>
  <c r="P21" i="16"/>
  <c r="L232" i="16"/>
  <c r="O243" i="16"/>
  <c r="I71" i="16"/>
  <c r="K71" i="16" s="1"/>
  <c r="K83" i="16"/>
  <c r="L186" i="16"/>
  <c r="O186" i="16" s="1"/>
  <c r="N333" i="16"/>
  <c r="P333" i="16" s="1"/>
  <c r="M59" i="16"/>
  <c r="P59" i="16" s="1"/>
  <c r="P61" i="16"/>
  <c r="L333" i="16"/>
  <c r="O335" i="16"/>
  <c r="M157" i="16"/>
  <c r="P157" i="16" s="1"/>
  <c r="P159" i="16"/>
  <c r="L24" i="16"/>
  <c r="O24" i="16" s="1"/>
  <c r="O26" i="16"/>
  <c r="M125" i="15"/>
  <c r="P125" i="15" s="1"/>
  <c r="P74" i="16"/>
  <c r="M72" i="16"/>
  <c r="P72" i="16" s="1"/>
  <c r="M186" i="16"/>
  <c r="P186" i="16" s="1"/>
  <c r="P188" i="16"/>
  <c r="O305" i="16"/>
  <c r="L303" i="16"/>
  <c r="M266" i="16"/>
  <c r="P266" i="16" s="1"/>
  <c r="P268" i="16"/>
  <c r="L157" i="16"/>
  <c r="O157" i="16" s="1"/>
  <c r="K83" i="15"/>
  <c r="O188" i="14"/>
  <c r="P188" i="14"/>
  <c r="L186" i="15"/>
  <c r="O186" i="15" s="1"/>
  <c r="P96" i="14"/>
  <c r="P46" i="15"/>
  <c r="M72" i="15"/>
  <c r="P72" i="15" s="1"/>
  <c r="L59" i="15"/>
  <c r="O59" i="15" s="1"/>
  <c r="M24" i="14"/>
  <c r="P24" i="14" s="1"/>
  <c r="N20" i="14"/>
  <c r="N18" i="14" s="1"/>
  <c r="L44" i="14"/>
  <c r="O44" i="14" s="1"/>
  <c r="I70" i="15"/>
  <c r="K70" i="15" s="1"/>
  <c r="O188" i="13"/>
  <c r="O61" i="14"/>
  <c r="N20" i="15"/>
  <c r="N18" i="15" s="1"/>
  <c r="L266" i="15"/>
  <c r="O266" i="15" s="1"/>
  <c r="L303" i="15"/>
  <c r="O303" i="15" s="1"/>
  <c r="N21" i="15"/>
  <c r="O21" i="15" s="1"/>
  <c r="P72" i="14"/>
  <c r="M282" i="15"/>
  <c r="P282" i="15" s="1"/>
  <c r="O358" i="15"/>
  <c r="L157" i="15"/>
  <c r="O157" i="15" s="1"/>
  <c r="O159" i="15"/>
  <c r="N40" i="15"/>
  <c r="L232" i="15"/>
  <c r="O243" i="15"/>
  <c r="O284" i="15"/>
  <c r="L282" i="15"/>
  <c r="O282" i="15" s="1"/>
  <c r="L24" i="15"/>
  <c r="O24" i="15" s="1"/>
  <c r="O26" i="15"/>
  <c r="O322" i="15"/>
  <c r="L320" i="15"/>
  <c r="O320" i="15" s="1"/>
  <c r="O356" i="15"/>
  <c r="M94" i="15"/>
  <c r="P94" i="15" s="1"/>
  <c r="P96" i="15"/>
  <c r="L173" i="15"/>
  <c r="O173" i="15" s="1"/>
  <c r="O175" i="15"/>
  <c r="M377" i="15"/>
  <c r="P377" i="15" s="1"/>
  <c r="P379" i="15"/>
  <c r="M186" i="15"/>
  <c r="P186" i="15" s="1"/>
  <c r="P188" i="15"/>
  <c r="O333" i="14"/>
  <c r="L44" i="15"/>
  <c r="O46" i="15"/>
  <c r="L20" i="15"/>
  <c r="O23" i="15"/>
  <c r="O127" i="15"/>
  <c r="L125" i="15"/>
  <c r="O125" i="15" s="1"/>
  <c r="P335" i="15"/>
  <c r="M59" i="15"/>
  <c r="P59" i="15" s="1"/>
  <c r="P61" i="15"/>
  <c r="K253" i="15"/>
  <c r="I231" i="15"/>
  <c r="L377" i="15"/>
  <c r="O377" i="15" s="1"/>
  <c r="M20" i="15"/>
  <c r="P23" i="15"/>
  <c r="M21" i="15"/>
  <c r="P175" i="15"/>
  <c r="M44" i="14"/>
  <c r="P44" i="14" s="1"/>
  <c r="M24" i="15"/>
  <c r="P24" i="15" s="1"/>
  <c r="O141" i="15"/>
  <c r="L139" i="15"/>
  <c r="O139" i="15" s="1"/>
  <c r="M44" i="15"/>
  <c r="P358" i="15"/>
  <c r="O335" i="15"/>
  <c r="M356" i="15"/>
  <c r="P356" i="15" s="1"/>
  <c r="M320" i="15"/>
  <c r="P320" i="15" s="1"/>
  <c r="L72" i="15"/>
  <c r="O72" i="15" s="1"/>
  <c r="O74" i="15"/>
  <c r="P173" i="15"/>
  <c r="O333" i="15"/>
  <c r="M303" i="15"/>
  <c r="P303" i="15" s="1"/>
  <c r="M333" i="15"/>
  <c r="P333" i="15" s="1"/>
  <c r="P335" i="14"/>
  <c r="M377" i="14"/>
  <c r="P377" i="14" s="1"/>
  <c r="O97" i="14"/>
  <c r="K83" i="14"/>
  <c r="P284" i="13"/>
  <c r="O176" i="13"/>
  <c r="O358" i="12"/>
  <c r="P175" i="14"/>
  <c r="O96" i="14"/>
  <c r="M72" i="13"/>
  <c r="P72" i="13" s="1"/>
  <c r="M173" i="14"/>
  <c r="P173" i="14" s="1"/>
  <c r="O26" i="14"/>
  <c r="L232" i="14"/>
  <c r="L266" i="14"/>
  <c r="O266" i="14" s="1"/>
  <c r="O358" i="13"/>
  <c r="P358" i="13"/>
  <c r="O358" i="14"/>
  <c r="L186" i="14"/>
  <c r="O186" i="14" s="1"/>
  <c r="O335" i="14"/>
  <c r="P141" i="14"/>
  <c r="M139" i="14"/>
  <c r="P139" i="14" s="1"/>
  <c r="O127" i="14"/>
  <c r="P379" i="13"/>
  <c r="P358" i="14"/>
  <c r="O356" i="14"/>
  <c r="M333" i="14"/>
  <c r="P333" i="14" s="1"/>
  <c r="L303" i="14"/>
  <c r="O303" i="14" s="1"/>
  <c r="P97" i="14"/>
  <c r="M320" i="14"/>
  <c r="P320" i="14" s="1"/>
  <c r="O142" i="13"/>
  <c r="O94" i="14"/>
  <c r="N59" i="14"/>
  <c r="N40" i="14" s="1"/>
  <c r="M125" i="14"/>
  <c r="P125" i="14" s="1"/>
  <c r="P127" i="14"/>
  <c r="P74" i="14"/>
  <c r="L20" i="14"/>
  <c r="O23" i="14"/>
  <c r="M59" i="14"/>
  <c r="P61" i="14"/>
  <c r="I70" i="14"/>
  <c r="K70" i="14" s="1"/>
  <c r="K82" i="14"/>
  <c r="O175" i="13"/>
  <c r="L21" i="14"/>
  <c r="O284" i="14"/>
  <c r="L282" i="14"/>
  <c r="O282" i="14" s="1"/>
  <c r="O47" i="14"/>
  <c r="P175" i="13"/>
  <c r="M94" i="13"/>
  <c r="P94" i="13" s="1"/>
  <c r="P94" i="14"/>
  <c r="O159" i="14"/>
  <c r="L157" i="14"/>
  <c r="O157" i="14" s="1"/>
  <c r="P284" i="14"/>
  <c r="I231" i="14"/>
  <c r="K242" i="14"/>
  <c r="M157" i="14"/>
  <c r="P157" i="14" s="1"/>
  <c r="L377" i="14"/>
  <c r="O377" i="14" s="1"/>
  <c r="M20" i="14"/>
  <c r="P23" i="14"/>
  <c r="M21" i="14"/>
  <c r="M186" i="14"/>
  <c r="P186" i="14" s="1"/>
  <c r="M356" i="14"/>
  <c r="P356" i="14" s="1"/>
  <c r="O74" i="11"/>
  <c r="O335" i="12"/>
  <c r="N21" i="14"/>
  <c r="O322" i="14"/>
  <c r="L320" i="14"/>
  <c r="O320" i="14" s="1"/>
  <c r="M266" i="14"/>
  <c r="P266" i="14" s="1"/>
  <c r="O74" i="14"/>
  <c r="L72" i="14"/>
  <c r="O72" i="14" s="1"/>
  <c r="O175" i="14"/>
  <c r="L173" i="14"/>
  <c r="O173" i="14" s="1"/>
  <c r="L139" i="14"/>
  <c r="O139" i="14" s="1"/>
  <c r="O141" i="14"/>
  <c r="P282" i="14"/>
  <c r="M303" i="14"/>
  <c r="P303" i="14" s="1"/>
  <c r="M157" i="10"/>
  <c r="P157" i="10" s="1"/>
  <c r="L303" i="12"/>
  <c r="O303" i="12" s="1"/>
  <c r="O284" i="13"/>
  <c r="L320" i="13"/>
  <c r="O320" i="13" s="1"/>
  <c r="K332" i="13"/>
  <c r="M282" i="13"/>
  <c r="P282" i="13" s="1"/>
  <c r="P359" i="13"/>
  <c r="P142" i="13"/>
  <c r="O189" i="13"/>
  <c r="P59" i="8"/>
  <c r="L94" i="12"/>
  <c r="O94" i="12" s="1"/>
  <c r="K83" i="12"/>
  <c r="O61" i="13"/>
  <c r="M157" i="13"/>
  <c r="P157" i="13" s="1"/>
  <c r="P46" i="13"/>
  <c r="L266" i="13"/>
  <c r="O266" i="13" s="1"/>
  <c r="L356" i="13"/>
  <c r="O356" i="13" s="1"/>
  <c r="I70" i="13"/>
  <c r="K70" i="13" s="1"/>
  <c r="K82" i="13"/>
  <c r="P46" i="12"/>
  <c r="P335" i="12"/>
  <c r="L157" i="13"/>
  <c r="O157" i="13" s="1"/>
  <c r="M320" i="12"/>
  <c r="P320" i="12" s="1"/>
  <c r="O46" i="13"/>
  <c r="M125" i="13"/>
  <c r="P125" i="13" s="1"/>
  <c r="M303" i="13"/>
  <c r="P303" i="13" s="1"/>
  <c r="P175" i="12"/>
  <c r="L356" i="12"/>
  <c r="O356" i="12" s="1"/>
  <c r="O359" i="12"/>
  <c r="N20" i="13"/>
  <c r="N18" i="13" s="1"/>
  <c r="L186" i="13"/>
  <c r="O186" i="13" s="1"/>
  <c r="L125" i="13"/>
  <c r="O125" i="13" s="1"/>
  <c r="L94" i="13"/>
  <c r="O94" i="13" s="1"/>
  <c r="N40" i="13"/>
  <c r="P335" i="13"/>
  <c r="M333" i="13"/>
  <c r="P333" i="13" s="1"/>
  <c r="O141" i="13"/>
  <c r="L139" i="13"/>
  <c r="O139" i="13" s="1"/>
  <c r="O333" i="13"/>
  <c r="L232" i="13"/>
  <c r="O243" i="13"/>
  <c r="L24" i="13"/>
  <c r="O24" i="13" s="1"/>
  <c r="M20" i="13"/>
  <c r="P23" i="13"/>
  <c r="M21" i="13"/>
  <c r="L59" i="13"/>
  <c r="O59" i="13" s="1"/>
  <c r="N20" i="12"/>
  <c r="N18" i="12" s="1"/>
  <c r="L44" i="13"/>
  <c r="L173" i="13"/>
  <c r="O173" i="13" s="1"/>
  <c r="M356" i="13"/>
  <c r="P356" i="13" s="1"/>
  <c r="M59" i="13"/>
  <c r="P59" i="13" s="1"/>
  <c r="P61" i="13"/>
  <c r="M320" i="13"/>
  <c r="P320" i="13" s="1"/>
  <c r="L72" i="13"/>
  <c r="O72" i="13" s="1"/>
  <c r="M44" i="13"/>
  <c r="M266" i="13"/>
  <c r="P266" i="13" s="1"/>
  <c r="O335" i="13"/>
  <c r="P26" i="13"/>
  <c r="M24" i="13"/>
  <c r="P24" i="13" s="1"/>
  <c r="L282" i="13"/>
  <c r="O282" i="13" s="1"/>
  <c r="M173" i="13"/>
  <c r="P173" i="13" s="1"/>
  <c r="L377" i="13"/>
  <c r="O377" i="13" s="1"/>
  <c r="O379" i="13"/>
  <c r="I71" i="13"/>
  <c r="K71" i="13" s="1"/>
  <c r="K83" i="13"/>
  <c r="L20" i="13"/>
  <c r="K242" i="13"/>
  <c r="I231" i="13"/>
  <c r="O23" i="13"/>
  <c r="P141" i="13"/>
  <c r="L303" i="13"/>
  <c r="O303" i="13" s="1"/>
  <c r="M186" i="13"/>
  <c r="P186" i="13" s="1"/>
  <c r="P188" i="13"/>
  <c r="M139" i="13"/>
  <c r="P139" i="13" s="1"/>
  <c r="N21" i="13"/>
  <c r="O21" i="13" s="1"/>
  <c r="P379" i="12"/>
  <c r="O59" i="12"/>
  <c r="O61" i="12"/>
  <c r="O336" i="12"/>
  <c r="P284" i="12"/>
  <c r="I231" i="12"/>
  <c r="I185" i="12" s="1"/>
  <c r="K185" i="12" s="1"/>
  <c r="M125" i="12"/>
  <c r="P125" i="12" s="1"/>
  <c r="M157" i="12"/>
  <c r="P157" i="12" s="1"/>
  <c r="P186" i="12"/>
  <c r="O139" i="11"/>
  <c r="M94" i="11"/>
  <c r="P94" i="11" s="1"/>
  <c r="O47" i="12"/>
  <c r="O188" i="12"/>
  <c r="L125" i="11"/>
  <c r="O125" i="11" s="1"/>
  <c r="O186" i="12"/>
  <c r="L266" i="12"/>
  <c r="O266" i="12" s="1"/>
  <c r="M320" i="11"/>
  <c r="P320" i="11" s="1"/>
  <c r="M266" i="12"/>
  <c r="P266" i="12" s="1"/>
  <c r="O333" i="12"/>
  <c r="L72" i="9"/>
  <c r="O72" i="9" s="1"/>
  <c r="P188" i="12"/>
  <c r="O189" i="12"/>
  <c r="M139" i="12"/>
  <c r="P139" i="12" s="1"/>
  <c r="O74" i="12"/>
  <c r="L72" i="12"/>
  <c r="O72" i="12" s="1"/>
  <c r="O19" i="12"/>
  <c r="N21" i="12"/>
  <c r="O21" i="12" s="1"/>
  <c r="K82" i="12"/>
  <c r="I70" i="12"/>
  <c r="K70" i="12" s="1"/>
  <c r="O175" i="12"/>
  <c r="L173" i="12"/>
  <c r="O173" i="12" s="1"/>
  <c r="M333" i="12"/>
  <c r="P333" i="12" s="1"/>
  <c r="M44" i="12"/>
  <c r="M173" i="12"/>
  <c r="P173" i="12" s="1"/>
  <c r="M282" i="12"/>
  <c r="P282" i="12" s="1"/>
  <c r="M20" i="12"/>
  <c r="P23" i="12"/>
  <c r="M21" i="12"/>
  <c r="N40" i="12"/>
  <c r="O243" i="12"/>
  <c r="L232" i="12"/>
  <c r="O46" i="12"/>
  <c r="L24" i="12"/>
  <c r="O24" i="12" s="1"/>
  <c r="O26" i="12"/>
  <c r="M356" i="12"/>
  <c r="P356" i="12" s="1"/>
  <c r="P358" i="12"/>
  <c r="O284" i="12"/>
  <c r="L282" i="12"/>
  <c r="O282" i="12" s="1"/>
  <c r="O44" i="12"/>
  <c r="L94" i="11"/>
  <c r="O94" i="11" s="1"/>
  <c r="O284" i="11"/>
  <c r="L377" i="12"/>
  <c r="O377" i="12" s="1"/>
  <c r="O379" i="12"/>
  <c r="M24" i="12"/>
  <c r="P24" i="12" s="1"/>
  <c r="M72" i="12"/>
  <c r="P72" i="12" s="1"/>
  <c r="M303" i="12"/>
  <c r="P303" i="12" s="1"/>
  <c r="L139" i="12"/>
  <c r="O139" i="12" s="1"/>
  <c r="O141" i="12"/>
  <c r="O141" i="9"/>
  <c r="L20" i="12"/>
  <c r="O23" i="12"/>
  <c r="O159" i="12"/>
  <c r="L157" i="12"/>
  <c r="O157" i="12" s="1"/>
  <c r="M59" i="12"/>
  <c r="P59" i="12" s="1"/>
  <c r="P61" i="12"/>
  <c r="P19" i="12"/>
  <c r="M94" i="12"/>
  <c r="P94" i="12" s="1"/>
  <c r="L125" i="12"/>
  <c r="O125" i="12" s="1"/>
  <c r="O127" i="12"/>
  <c r="L24" i="11"/>
  <c r="O24" i="11" s="1"/>
  <c r="O333" i="11"/>
  <c r="O175" i="11"/>
  <c r="L157" i="11"/>
  <c r="O157" i="11" s="1"/>
  <c r="L94" i="10"/>
  <c r="O94" i="10" s="1"/>
  <c r="L377" i="11"/>
  <c r="O377" i="11" s="1"/>
  <c r="O61" i="11"/>
  <c r="O173" i="10"/>
  <c r="L173" i="11"/>
  <c r="O173" i="11" s="1"/>
  <c r="P359" i="11"/>
  <c r="P61" i="11"/>
  <c r="L282" i="11"/>
  <c r="O282" i="11" s="1"/>
  <c r="O141" i="11"/>
  <c r="L59" i="11"/>
  <c r="O59" i="11" s="1"/>
  <c r="P141" i="10"/>
  <c r="O159" i="10"/>
  <c r="O21" i="11"/>
  <c r="P175" i="11"/>
  <c r="M157" i="11"/>
  <c r="P157" i="11" s="1"/>
  <c r="P188" i="11"/>
  <c r="P62" i="11"/>
  <c r="L320" i="11"/>
  <c r="O320" i="11" s="1"/>
  <c r="O335" i="11"/>
  <c r="O61" i="9"/>
  <c r="P46" i="11"/>
  <c r="P141" i="11"/>
  <c r="O46" i="11"/>
  <c r="P61" i="9"/>
  <c r="L72" i="10"/>
  <c r="O72" i="10" s="1"/>
  <c r="K332" i="10"/>
  <c r="O175" i="10"/>
  <c r="O186" i="11"/>
  <c r="P186" i="11"/>
  <c r="O358" i="9"/>
  <c r="O188" i="11"/>
  <c r="M303" i="11"/>
  <c r="P303" i="11" s="1"/>
  <c r="M59" i="11"/>
  <c r="P59" i="11" s="1"/>
  <c r="O62" i="11"/>
  <c r="I71" i="11"/>
  <c r="K71" i="11" s="1"/>
  <c r="K83" i="11"/>
  <c r="M44" i="11"/>
  <c r="M139" i="11"/>
  <c r="P139" i="11" s="1"/>
  <c r="P356" i="11"/>
  <c r="L20" i="11"/>
  <c r="O23" i="11"/>
  <c r="O44" i="11"/>
  <c r="O358" i="10"/>
  <c r="M20" i="11"/>
  <c r="P23" i="11"/>
  <c r="M21" i="11"/>
  <c r="P21" i="11" s="1"/>
  <c r="M173" i="11"/>
  <c r="P173" i="11" s="1"/>
  <c r="M72" i="11"/>
  <c r="P72" i="11" s="1"/>
  <c r="M282" i="11"/>
  <c r="P282" i="11" s="1"/>
  <c r="N20" i="11"/>
  <c r="N18" i="11" s="1"/>
  <c r="O358" i="11"/>
  <c r="L356" i="11"/>
  <c r="O356" i="11" s="1"/>
  <c r="M266" i="11"/>
  <c r="P266" i="11" s="1"/>
  <c r="P358" i="11"/>
  <c r="P335" i="11"/>
  <c r="M333" i="11"/>
  <c r="P333" i="11" s="1"/>
  <c r="N40" i="11"/>
  <c r="M24" i="11"/>
  <c r="P24" i="11" s="1"/>
  <c r="P26" i="11"/>
  <c r="L303" i="11"/>
  <c r="O303" i="11" s="1"/>
  <c r="M94" i="9"/>
  <c r="P94" i="9" s="1"/>
  <c r="L232" i="11"/>
  <c r="O243" i="11"/>
  <c r="M320" i="9"/>
  <c r="P320" i="9" s="1"/>
  <c r="P188" i="10"/>
  <c r="I231" i="11"/>
  <c r="K242" i="11"/>
  <c r="P142" i="11"/>
  <c r="O142" i="11"/>
  <c r="M125" i="11"/>
  <c r="P125" i="11" s="1"/>
  <c r="L266" i="11"/>
  <c r="O266" i="11" s="1"/>
  <c r="M377" i="11"/>
  <c r="P377" i="11" s="1"/>
  <c r="O305" i="10"/>
  <c r="O46" i="10"/>
  <c r="P175" i="10"/>
  <c r="P284" i="9"/>
  <c r="O282" i="9"/>
  <c r="O282" i="10"/>
  <c r="M94" i="10"/>
  <c r="P94" i="10" s="1"/>
  <c r="M320" i="10"/>
  <c r="P320" i="10" s="1"/>
  <c r="P61" i="10"/>
  <c r="O284" i="10"/>
  <c r="M24" i="10"/>
  <c r="P24" i="10" s="1"/>
  <c r="O333" i="10"/>
  <c r="P305" i="10"/>
  <c r="N303" i="10"/>
  <c r="O303" i="10" s="1"/>
  <c r="P189" i="10"/>
  <c r="P59" i="10"/>
  <c r="L320" i="7"/>
  <c r="O320" i="7" s="1"/>
  <c r="L320" i="10"/>
  <c r="O320" i="10" s="1"/>
  <c r="O61" i="10"/>
  <c r="O322" i="5"/>
  <c r="M266" i="10"/>
  <c r="P266" i="10" s="1"/>
  <c r="P284" i="10"/>
  <c r="P335" i="10"/>
  <c r="P358" i="10"/>
  <c r="L59" i="10"/>
  <c r="O59" i="10" s="1"/>
  <c r="N44" i="10"/>
  <c r="O44" i="10" s="1"/>
  <c r="L24" i="10"/>
  <c r="O24" i="10" s="1"/>
  <c r="O335" i="10"/>
  <c r="P284" i="8"/>
  <c r="L94" i="9"/>
  <c r="O94" i="9" s="1"/>
  <c r="M303" i="10"/>
  <c r="L125" i="10"/>
  <c r="O125" i="10" s="1"/>
  <c r="O356" i="10"/>
  <c r="I71" i="10"/>
  <c r="K71" i="10" s="1"/>
  <c r="K83" i="10"/>
  <c r="K253" i="10"/>
  <c r="I231" i="10"/>
  <c r="P176" i="10"/>
  <c r="M20" i="10"/>
  <c r="M18" i="10" s="1"/>
  <c r="P23" i="10"/>
  <c r="L125" i="9"/>
  <c r="O125" i="9" s="1"/>
  <c r="K82" i="10"/>
  <c r="I70" i="10"/>
  <c r="K70" i="10" s="1"/>
  <c r="O188" i="10"/>
  <c r="L186" i="10"/>
  <c r="O186" i="10" s="1"/>
  <c r="N20" i="10"/>
  <c r="N18" i="10" s="1"/>
  <c r="M377" i="10"/>
  <c r="P377" i="10" s="1"/>
  <c r="P379" i="10"/>
  <c r="M333" i="10"/>
  <c r="P333" i="10" s="1"/>
  <c r="O23" i="10"/>
  <c r="L20" i="10"/>
  <c r="L21" i="10"/>
  <c r="O21" i="10" s="1"/>
  <c r="L157" i="10"/>
  <c r="O157" i="10" s="1"/>
  <c r="L232" i="10"/>
  <c r="O243" i="10"/>
  <c r="P19" i="10"/>
  <c r="P46" i="10"/>
  <c r="M44" i="10"/>
  <c r="M21" i="10"/>
  <c r="P21" i="10" s="1"/>
  <c r="M186" i="10"/>
  <c r="P186" i="10" s="1"/>
  <c r="P282" i="10"/>
  <c r="M356" i="10"/>
  <c r="P356" i="10" s="1"/>
  <c r="M72" i="10"/>
  <c r="P72" i="10" s="1"/>
  <c r="P74" i="10"/>
  <c r="M320" i="7"/>
  <c r="P320" i="7" s="1"/>
  <c r="O282" i="8"/>
  <c r="K83" i="9"/>
  <c r="L266" i="10"/>
  <c r="O266" i="10" s="1"/>
  <c r="O268" i="10"/>
  <c r="N139" i="10"/>
  <c r="O141" i="10"/>
  <c r="P306" i="10"/>
  <c r="M125" i="10"/>
  <c r="P125" i="10" s="1"/>
  <c r="L377" i="10"/>
  <c r="O377" i="10" s="1"/>
  <c r="O284" i="9"/>
  <c r="P358" i="9"/>
  <c r="M94" i="7"/>
  <c r="P94" i="7" s="1"/>
  <c r="P175" i="9"/>
  <c r="M377" i="9"/>
  <c r="P377" i="9" s="1"/>
  <c r="P356" i="9"/>
  <c r="O173" i="9"/>
  <c r="O175" i="7"/>
  <c r="O173" i="7"/>
  <c r="L157" i="8"/>
  <c r="O157" i="8" s="1"/>
  <c r="L72" i="8"/>
  <c r="O72" i="8" s="1"/>
  <c r="M72" i="9"/>
  <c r="P72" i="9" s="1"/>
  <c r="P175" i="7"/>
  <c r="P186" i="9"/>
  <c r="O188" i="9"/>
  <c r="L320" i="9"/>
  <c r="O320" i="9" s="1"/>
  <c r="O285" i="9"/>
  <c r="M59" i="9"/>
  <c r="P59" i="9" s="1"/>
  <c r="P46" i="9"/>
  <c r="L377" i="9"/>
  <c r="O377" i="9" s="1"/>
  <c r="O284" i="8"/>
  <c r="M282" i="9"/>
  <c r="P282" i="9" s="1"/>
  <c r="P335" i="9"/>
  <c r="M157" i="9"/>
  <c r="P157" i="9" s="1"/>
  <c r="O335" i="9"/>
  <c r="P333" i="9"/>
  <c r="M24" i="9"/>
  <c r="P24" i="9" s="1"/>
  <c r="P26" i="9"/>
  <c r="O61" i="8"/>
  <c r="O23" i="9"/>
  <c r="L20" i="9"/>
  <c r="M20" i="9"/>
  <c r="P23" i="9"/>
  <c r="M21" i="9"/>
  <c r="P21" i="9" s="1"/>
  <c r="I185" i="9"/>
  <c r="K185" i="9" s="1"/>
  <c r="L333" i="9"/>
  <c r="O333" i="9" s="1"/>
  <c r="N20" i="9"/>
  <c r="N18" i="9" s="1"/>
  <c r="I70" i="9"/>
  <c r="K70" i="9" s="1"/>
  <c r="K82" i="9"/>
  <c r="O175" i="9"/>
  <c r="P188" i="9"/>
  <c r="O46" i="9"/>
  <c r="M139" i="9"/>
  <c r="P139" i="9" s="1"/>
  <c r="L186" i="9"/>
  <c r="O186" i="9" s="1"/>
  <c r="O243" i="9"/>
  <c r="L232" i="9"/>
  <c r="L232" i="8"/>
  <c r="O21" i="9"/>
  <c r="N40" i="9"/>
  <c r="M125" i="9"/>
  <c r="P125" i="9" s="1"/>
  <c r="O44" i="9"/>
  <c r="P176" i="9"/>
  <c r="P44" i="9"/>
  <c r="O268" i="9"/>
  <c r="L266" i="9"/>
  <c r="O266" i="9" s="1"/>
  <c r="L24" i="9"/>
  <c r="O24" i="9" s="1"/>
  <c r="M173" i="9"/>
  <c r="P173" i="9" s="1"/>
  <c r="O335" i="7"/>
  <c r="P176" i="8"/>
  <c r="O243" i="8"/>
  <c r="O305" i="9"/>
  <c r="L303" i="9"/>
  <c r="O303" i="9" s="1"/>
  <c r="L59" i="9"/>
  <c r="O59" i="9" s="1"/>
  <c r="M266" i="9"/>
  <c r="P266" i="9" s="1"/>
  <c r="M303" i="9"/>
  <c r="P303" i="9" s="1"/>
  <c r="L356" i="9"/>
  <c r="O356" i="9" s="1"/>
  <c r="O96" i="8"/>
  <c r="K83" i="8"/>
  <c r="I70" i="8"/>
  <c r="K70" i="8" s="1"/>
  <c r="M266" i="8"/>
  <c r="P266" i="8" s="1"/>
  <c r="M94" i="8"/>
  <c r="P94" i="8" s="1"/>
  <c r="O322" i="8"/>
  <c r="O46" i="8"/>
  <c r="I231" i="8"/>
  <c r="K231" i="8" s="1"/>
  <c r="O285" i="8"/>
  <c r="P305" i="7"/>
  <c r="P173" i="8"/>
  <c r="M157" i="8"/>
  <c r="P157" i="8" s="1"/>
  <c r="O173" i="8"/>
  <c r="P322" i="8"/>
  <c r="P333" i="8"/>
  <c r="O305" i="7"/>
  <c r="P61" i="8"/>
  <c r="P186" i="8"/>
  <c r="O21" i="8"/>
  <c r="P142" i="7"/>
  <c r="K82" i="7"/>
  <c r="P188" i="8"/>
  <c r="P189" i="8"/>
  <c r="L24" i="8"/>
  <c r="O24" i="8" s="1"/>
  <c r="O127" i="8"/>
  <c r="L125" i="8"/>
  <c r="O125" i="8" s="1"/>
  <c r="O141" i="8"/>
  <c r="L139" i="8"/>
  <c r="O139" i="8" s="1"/>
  <c r="O96" i="7"/>
  <c r="I231" i="7"/>
  <c r="K231" i="7" s="1"/>
  <c r="M44" i="8"/>
  <c r="O188" i="8"/>
  <c r="L186" i="8"/>
  <c r="O186" i="8" s="1"/>
  <c r="O23" i="8"/>
  <c r="L20" i="8"/>
  <c r="O175" i="8"/>
  <c r="O44" i="8"/>
  <c r="P358" i="8"/>
  <c r="M356" i="8"/>
  <c r="P356" i="8" s="1"/>
  <c r="M377" i="8"/>
  <c r="P377" i="8" s="1"/>
  <c r="P61" i="7"/>
  <c r="P282" i="7"/>
  <c r="K83" i="7"/>
  <c r="M20" i="8"/>
  <c r="P23" i="8"/>
  <c r="M21" i="8"/>
  <c r="P21" i="8" s="1"/>
  <c r="O379" i="8"/>
  <c r="L377" i="8"/>
  <c r="O377" i="8" s="1"/>
  <c r="M173" i="7"/>
  <c r="P173" i="7" s="1"/>
  <c r="P175" i="8"/>
  <c r="O305" i="8"/>
  <c r="L303" i="8"/>
  <c r="O303" i="8" s="1"/>
  <c r="O358" i="8"/>
  <c r="L356" i="8"/>
  <c r="O356" i="8" s="1"/>
  <c r="M282" i="8"/>
  <c r="P282" i="8" s="1"/>
  <c r="N20" i="8"/>
  <c r="N18" i="8" s="1"/>
  <c r="O335" i="8"/>
  <c r="L333" i="8"/>
  <c r="O333" i="8" s="1"/>
  <c r="P335" i="8"/>
  <c r="M125" i="8"/>
  <c r="P125" i="8" s="1"/>
  <c r="O59" i="7"/>
  <c r="N40" i="8"/>
  <c r="M72" i="8"/>
  <c r="P72" i="8" s="1"/>
  <c r="M139" i="8"/>
  <c r="P139" i="8" s="1"/>
  <c r="L59" i="8"/>
  <c r="O59" i="8" s="1"/>
  <c r="M303" i="8"/>
  <c r="P303" i="8" s="1"/>
  <c r="M24" i="8"/>
  <c r="P24" i="8" s="1"/>
  <c r="P26" i="8"/>
  <c r="L266" i="8"/>
  <c r="O266" i="8" s="1"/>
  <c r="O188" i="7"/>
  <c r="P333" i="7"/>
  <c r="M125" i="7"/>
  <c r="P125" i="7" s="1"/>
  <c r="O44" i="7"/>
  <c r="P188" i="7"/>
  <c r="P141" i="7"/>
  <c r="P335" i="7"/>
  <c r="O282" i="7"/>
  <c r="M320" i="5"/>
  <c r="P320" i="5" s="1"/>
  <c r="O72" i="7"/>
  <c r="O157" i="7"/>
  <c r="L303" i="7"/>
  <c r="O303" i="7" s="1"/>
  <c r="N20" i="7"/>
  <c r="N18" i="7" s="1"/>
  <c r="O74" i="7"/>
  <c r="P176" i="7"/>
  <c r="O142" i="7"/>
  <c r="O61" i="7"/>
  <c r="M186" i="7"/>
  <c r="P186" i="7" s="1"/>
  <c r="L266" i="7"/>
  <c r="O266" i="7" s="1"/>
  <c r="N139" i="7"/>
  <c r="O139" i="7" s="1"/>
  <c r="O284" i="7"/>
  <c r="O141" i="7"/>
  <c r="P72" i="7"/>
  <c r="O159" i="7"/>
  <c r="P284" i="7"/>
  <c r="O46" i="7"/>
  <c r="L24" i="7"/>
  <c r="O24" i="7" s="1"/>
  <c r="P358" i="7"/>
  <c r="M356" i="7"/>
  <c r="P356" i="7" s="1"/>
  <c r="L232" i="7"/>
  <c r="O243" i="7"/>
  <c r="P46" i="7"/>
  <c r="M303" i="7"/>
  <c r="P303" i="7" s="1"/>
  <c r="L333" i="7"/>
  <c r="O333" i="7" s="1"/>
  <c r="M59" i="7"/>
  <c r="P59" i="7" s="1"/>
  <c r="O379" i="7"/>
  <c r="L377" i="7"/>
  <c r="O377" i="7" s="1"/>
  <c r="M24" i="7"/>
  <c r="P24" i="7" s="1"/>
  <c r="P26" i="7"/>
  <c r="P44" i="7"/>
  <c r="P74" i="7"/>
  <c r="N21" i="7"/>
  <c r="O21" i="7" s="1"/>
  <c r="L186" i="7"/>
  <c r="O186" i="7" s="1"/>
  <c r="M157" i="7"/>
  <c r="P157" i="7" s="1"/>
  <c r="O127" i="7"/>
  <c r="L125" i="7"/>
  <c r="O125" i="7" s="1"/>
  <c r="P285" i="7"/>
  <c r="M377" i="7"/>
  <c r="P377" i="7" s="1"/>
  <c r="M20" i="7"/>
  <c r="P23" i="7"/>
  <c r="M21" i="7"/>
  <c r="O268" i="6"/>
  <c r="O188" i="6"/>
  <c r="O23" i="7"/>
  <c r="L20" i="7"/>
  <c r="O358" i="7"/>
  <c r="L356" i="7"/>
  <c r="O356" i="7" s="1"/>
  <c r="M266" i="7"/>
  <c r="P266" i="7" s="1"/>
  <c r="M125" i="6"/>
  <c r="P125" i="6" s="1"/>
  <c r="O282" i="6"/>
  <c r="P46" i="6"/>
  <c r="M139" i="6"/>
  <c r="P139" i="6" s="1"/>
  <c r="P47" i="6"/>
  <c r="O59" i="6"/>
  <c r="O61" i="6"/>
  <c r="L72" i="5"/>
  <c r="O72" i="5" s="1"/>
  <c r="I70" i="6"/>
  <c r="K70" i="6" s="1"/>
  <c r="L94" i="6"/>
  <c r="O94" i="6" s="1"/>
  <c r="P173" i="4"/>
  <c r="O305" i="5"/>
  <c r="P358" i="6"/>
  <c r="O305" i="6"/>
  <c r="L377" i="6"/>
  <c r="O377" i="6" s="1"/>
  <c r="O46" i="6"/>
  <c r="P335" i="6"/>
  <c r="L320" i="6"/>
  <c r="O320" i="6" s="1"/>
  <c r="L186" i="6"/>
  <c r="O186" i="6" s="1"/>
  <c r="O284" i="6"/>
  <c r="M320" i="6"/>
  <c r="P320" i="6" s="1"/>
  <c r="M72" i="6"/>
  <c r="P72" i="6" s="1"/>
  <c r="M157" i="6"/>
  <c r="P157" i="6" s="1"/>
  <c r="P284" i="4"/>
  <c r="P303" i="5"/>
  <c r="P175" i="6"/>
  <c r="L232" i="6"/>
  <c r="O175" i="6"/>
  <c r="O26" i="6"/>
  <c r="O335" i="1"/>
  <c r="P62" i="6"/>
  <c r="L44" i="6"/>
  <c r="O44" i="6" s="1"/>
  <c r="O189" i="6"/>
  <c r="N333" i="6"/>
  <c r="P284" i="5"/>
  <c r="L20" i="6"/>
  <c r="O23" i="6"/>
  <c r="M20" i="6"/>
  <c r="P23" i="6"/>
  <c r="M21" i="6"/>
  <c r="N20" i="6"/>
  <c r="N18" i="6" s="1"/>
  <c r="P142" i="6"/>
  <c r="M94" i="6"/>
  <c r="P94" i="6" s="1"/>
  <c r="P268" i="6"/>
  <c r="M266" i="6"/>
  <c r="P266" i="6" s="1"/>
  <c r="M59" i="6"/>
  <c r="P59" i="6" s="1"/>
  <c r="P61" i="6"/>
  <c r="O285" i="6"/>
  <c r="M377" i="6"/>
  <c r="P377" i="6" s="1"/>
  <c r="P305" i="6"/>
  <c r="M303" i="6"/>
  <c r="P303" i="6" s="1"/>
  <c r="L173" i="6"/>
  <c r="O173" i="6" s="1"/>
  <c r="O335" i="4"/>
  <c r="M24" i="6"/>
  <c r="P24" i="6" s="1"/>
  <c r="N21" i="6"/>
  <c r="O21" i="6" s="1"/>
  <c r="L72" i="6"/>
  <c r="O72" i="6" s="1"/>
  <c r="P282" i="6"/>
  <c r="N356" i="6"/>
  <c r="P356" i="6" s="1"/>
  <c r="P188" i="5"/>
  <c r="O127" i="6"/>
  <c r="L125" i="6"/>
  <c r="O125" i="6" s="1"/>
  <c r="M44" i="6"/>
  <c r="M173" i="6"/>
  <c r="P173" i="6" s="1"/>
  <c r="M186" i="6"/>
  <c r="P186" i="6" s="1"/>
  <c r="P188" i="6"/>
  <c r="O141" i="6"/>
  <c r="L139" i="6"/>
  <c r="O139" i="6" s="1"/>
  <c r="O335" i="6"/>
  <c r="L333" i="6"/>
  <c r="P141" i="5"/>
  <c r="I231" i="6"/>
  <c r="K242" i="6"/>
  <c r="L157" i="6"/>
  <c r="O157" i="6" s="1"/>
  <c r="L356" i="6"/>
  <c r="O358" i="6"/>
  <c r="P284" i="6"/>
  <c r="O59" i="5"/>
  <c r="M94" i="5"/>
  <c r="P94" i="5" s="1"/>
  <c r="I70" i="5"/>
  <c r="K70" i="5" s="1"/>
  <c r="L24" i="5"/>
  <c r="O24" i="5" s="1"/>
  <c r="P305" i="5"/>
  <c r="L266" i="5"/>
  <c r="O266" i="5" s="1"/>
  <c r="O173" i="4"/>
  <c r="O282" i="5"/>
  <c r="O335" i="5"/>
  <c r="O284" i="5"/>
  <c r="L377" i="5"/>
  <c r="O377" i="5" s="1"/>
  <c r="P61" i="5"/>
  <c r="O96" i="5"/>
  <c r="P358" i="5"/>
  <c r="N20" i="5"/>
  <c r="N18" i="5" s="1"/>
  <c r="P46" i="5"/>
  <c r="O188" i="5"/>
  <c r="O61" i="5"/>
  <c r="K83" i="5"/>
  <c r="L232" i="4"/>
  <c r="M356" i="5"/>
  <c r="P356" i="5" s="1"/>
  <c r="O282" i="4"/>
  <c r="O46" i="5"/>
  <c r="M377" i="5"/>
  <c r="P377" i="5" s="1"/>
  <c r="P61" i="3"/>
  <c r="P62" i="4"/>
  <c r="P189" i="5"/>
  <c r="P335" i="5"/>
  <c r="O159" i="5"/>
  <c r="M266" i="5"/>
  <c r="P266" i="5" s="1"/>
  <c r="P336" i="5"/>
  <c r="P62" i="5"/>
  <c r="M59" i="5"/>
  <c r="P59" i="5" s="1"/>
  <c r="N333" i="5"/>
  <c r="P333" i="5" s="1"/>
  <c r="O61" i="4"/>
  <c r="M157" i="5"/>
  <c r="P157" i="5" s="1"/>
  <c r="M186" i="5"/>
  <c r="P186" i="5" s="1"/>
  <c r="O44" i="5"/>
  <c r="O141" i="5"/>
  <c r="L139" i="5"/>
  <c r="O139" i="5" s="1"/>
  <c r="M72" i="5"/>
  <c r="P72" i="5" s="1"/>
  <c r="O175" i="5"/>
  <c r="I231" i="5"/>
  <c r="K242" i="5"/>
  <c r="M24" i="5"/>
  <c r="P24" i="5" s="1"/>
  <c r="P26" i="5"/>
  <c r="P175" i="5"/>
  <c r="N21" i="5"/>
  <c r="O21" i="5" s="1"/>
  <c r="M173" i="5"/>
  <c r="P173" i="5" s="1"/>
  <c r="M125" i="5"/>
  <c r="P125" i="5" s="1"/>
  <c r="M139" i="5"/>
  <c r="P139" i="5" s="1"/>
  <c r="P176" i="5"/>
  <c r="M282" i="5"/>
  <c r="P282" i="5" s="1"/>
  <c r="M20" i="5"/>
  <c r="P23" i="5"/>
  <c r="M21" i="5"/>
  <c r="L186" i="5"/>
  <c r="O186" i="5" s="1"/>
  <c r="L333" i="5"/>
  <c r="P61" i="4"/>
  <c r="O23" i="5"/>
  <c r="L20" i="5"/>
  <c r="O157" i="5"/>
  <c r="L356" i="5"/>
  <c r="O356" i="5" s="1"/>
  <c r="O358" i="5"/>
  <c r="O127" i="5"/>
  <c r="L125" i="5"/>
  <c r="O125" i="5" s="1"/>
  <c r="L303" i="5"/>
  <c r="O303" i="5" s="1"/>
  <c r="M44" i="5"/>
  <c r="O173" i="5"/>
  <c r="O243" i="5"/>
  <c r="L232" i="5"/>
  <c r="P335" i="3"/>
  <c r="O188" i="4"/>
  <c r="P186" i="4"/>
  <c r="P335" i="4"/>
  <c r="M157" i="4"/>
  <c r="P157" i="4" s="1"/>
  <c r="M320" i="4"/>
  <c r="P320" i="4" s="1"/>
  <c r="P285" i="4"/>
  <c r="K82" i="1"/>
  <c r="P46" i="4"/>
  <c r="L59" i="4"/>
  <c r="O59" i="4" s="1"/>
  <c r="I185" i="4"/>
  <c r="K185" i="4" s="1"/>
  <c r="M94" i="4"/>
  <c r="P94" i="4" s="1"/>
  <c r="O303" i="2"/>
  <c r="O157" i="4"/>
  <c r="O285" i="3"/>
  <c r="L377" i="3"/>
  <c r="O377" i="3" s="1"/>
  <c r="L266" i="3"/>
  <c r="O266" i="3" s="1"/>
  <c r="O159" i="4"/>
  <c r="O284" i="4"/>
  <c r="O46" i="4"/>
  <c r="P26" i="3"/>
  <c r="P175" i="4"/>
  <c r="L377" i="4"/>
  <c r="O377" i="4" s="1"/>
  <c r="P188" i="4"/>
  <c r="N333" i="4"/>
  <c r="O333" i="4" s="1"/>
  <c r="P74" i="3"/>
  <c r="O186" i="3"/>
  <c r="M282" i="4"/>
  <c r="P282" i="4" s="1"/>
  <c r="P306" i="4"/>
  <c r="P359" i="4"/>
  <c r="L72" i="4"/>
  <c r="O72" i="4" s="1"/>
  <c r="O139" i="4"/>
  <c r="M333" i="4"/>
  <c r="O243" i="4"/>
  <c r="I70" i="4"/>
  <c r="K70" i="4" s="1"/>
  <c r="K82" i="4"/>
  <c r="P141" i="4"/>
  <c r="M125" i="4"/>
  <c r="P125" i="4" s="1"/>
  <c r="P336" i="4"/>
  <c r="L94" i="4"/>
  <c r="O94" i="4" s="1"/>
  <c r="O96" i="4"/>
  <c r="O175" i="4"/>
  <c r="P305" i="4"/>
  <c r="P358" i="4"/>
  <c r="O141" i="4"/>
  <c r="M20" i="4"/>
  <c r="P23" i="4"/>
  <c r="M21" i="4"/>
  <c r="L186" i="4"/>
  <c r="O186" i="4" s="1"/>
  <c r="L72" i="3"/>
  <c r="O72" i="3" s="1"/>
  <c r="P142" i="3"/>
  <c r="M72" i="4"/>
  <c r="P72" i="4" s="1"/>
  <c r="O305" i="4"/>
  <c r="L303" i="4"/>
  <c r="O303" i="4" s="1"/>
  <c r="O44" i="4"/>
  <c r="M303" i="4"/>
  <c r="P303" i="4" s="1"/>
  <c r="M356" i="4"/>
  <c r="P356" i="4" s="1"/>
  <c r="O188" i="3"/>
  <c r="O127" i="4"/>
  <c r="L125" i="4"/>
  <c r="O125" i="4" s="1"/>
  <c r="P176" i="4"/>
  <c r="M377" i="4"/>
  <c r="P377" i="4" s="1"/>
  <c r="P379" i="4"/>
  <c r="O356" i="4"/>
  <c r="M24" i="4"/>
  <c r="P24" i="4" s="1"/>
  <c r="P26" i="4"/>
  <c r="M157" i="1"/>
  <c r="P157" i="1" s="1"/>
  <c r="L232" i="3"/>
  <c r="P284" i="3"/>
  <c r="O23" i="4"/>
  <c r="L20" i="4"/>
  <c r="N20" i="4"/>
  <c r="N18" i="4" s="1"/>
  <c r="N21" i="4"/>
  <c r="O21" i="4" s="1"/>
  <c r="M266" i="4"/>
  <c r="P266" i="4" s="1"/>
  <c r="L24" i="4"/>
  <c r="O24" i="4" s="1"/>
  <c r="M139" i="4"/>
  <c r="P139" i="4" s="1"/>
  <c r="O358" i="4"/>
  <c r="L266" i="4"/>
  <c r="O266" i="4" s="1"/>
  <c r="M44" i="4"/>
  <c r="M59" i="4"/>
  <c r="P59" i="4" s="1"/>
  <c r="L320" i="4"/>
  <c r="O320" i="4" s="1"/>
  <c r="O322" i="4"/>
  <c r="I71" i="4"/>
  <c r="K71" i="4" s="1"/>
  <c r="K83" i="4"/>
  <c r="M282" i="3"/>
  <c r="P282" i="3" s="1"/>
  <c r="O176" i="3"/>
  <c r="O173" i="3"/>
  <c r="P305" i="2"/>
  <c r="O284" i="3"/>
  <c r="O282" i="3"/>
  <c r="L94" i="3"/>
  <c r="O94" i="3" s="1"/>
  <c r="M320" i="3"/>
  <c r="P320" i="3" s="1"/>
  <c r="N333" i="3"/>
  <c r="N40" i="3" s="1"/>
  <c r="O44" i="3"/>
  <c r="O175" i="2"/>
  <c r="L157" i="3"/>
  <c r="O157" i="3" s="1"/>
  <c r="O303" i="3"/>
  <c r="P141" i="3"/>
  <c r="M125" i="3"/>
  <c r="P125" i="3" s="1"/>
  <c r="P96" i="3"/>
  <c r="M94" i="3"/>
  <c r="P94" i="3" s="1"/>
  <c r="N20" i="3"/>
  <c r="N18" i="3" s="1"/>
  <c r="P173" i="3"/>
  <c r="O175" i="3"/>
  <c r="P336" i="3"/>
  <c r="P175" i="3"/>
  <c r="O322" i="3"/>
  <c r="L320" i="3"/>
  <c r="O320" i="3" s="1"/>
  <c r="P356" i="3"/>
  <c r="P358" i="3"/>
  <c r="M139" i="3"/>
  <c r="P139" i="3" s="1"/>
  <c r="P74" i="2"/>
  <c r="O305" i="2"/>
  <c r="O159" i="2"/>
  <c r="P46" i="3"/>
  <c r="M72" i="3"/>
  <c r="P72" i="3" s="1"/>
  <c r="P75" i="3"/>
  <c r="O59" i="3"/>
  <c r="O142" i="3"/>
  <c r="I71" i="3"/>
  <c r="K71" i="3" s="1"/>
  <c r="K83" i="3"/>
  <c r="O61" i="3"/>
  <c r="P305" i="1"/>
  <c r="M377" i="3"/>
  <c r="P377" i="3" s="1"/>
  <c r="M44" i="3"/>
  <c r="K242" i="3"/>
  <c r="I231" i="3"/>
  <c r="M266" i="3"/>
  <c r="P266" i="3" s="1"/>
  <c r="P268" i="3"/>
  <c r="M20" i="3"/>
  <c r="P23" i="3"/>
  <c r="M21" i="3"/>
  <c r="L333" i="3"/>
  <c r="O335" i="3"/>
  <c r="M59" i="3"/>
  <c r="P59" i="3" s="1"/>
  <c r="L24" i="3"/>
  <c r="O24" i="3" s="1"/>
  <c r="O359" i="3"/>
  <c r="N21" i="3"/>
  <c r="O46" i="3"/>
  <c r="L356" i="3"/>
  <c r="O356" i="3" s="1"/>
  <c r="O358" i="3"/>
  <c r="O305" i="3"/>
  <c r="L20" i="3"/>
  <c r="O23" i="3"/>
  <c r="I70" i="2"/>
  <c r="K70" i="2" s="1"/>
  <c r="L21" i="3"/>
  <c r="M157" i="3"/>
  <c r="P157" i="3" s="1"/>
  <c r="P188" i="3"/>
  <c r="M186" i="3"/>
  <c r="P186" i="3" s="1"/>
  <c r="I70" i="3"/>
  <c r="K70" i="3" s="1"/>
  <c r="K82" i="3"/>
  <c r="O127" i="3"/>
  <c r="L125" i="3"/>
  <c r="O125" i="3" s="1"/>
  <c r="L157" i="2"/>
  <c r="O157" i="2" s="1"/>
  <c r="O189" i="2"/>
  <c r="P335" i="2"/>
  <c r="O141" i="3"/>
  <c r="L139" i="3"/>
  <c r="O139" i="3" s="1"/>
  <c r="M303" i="3"/>
  <c r="P303" i="3" s="1"/>
  <c r="P305" i="3"/>
  <c r="O336" i="3"/>
  <c r="P46" i="2"/>
  <c r="L125" i="2"/>
  <c r="O125" i="2" s="1"/>
  <c r="M266" i="1"/>
  <c r="P266" i="1" s="1"/>
  <c r="P26" i="2"/>
  <c r="O188" i="2"/>
  <c r="M72" i="1"/>
  <c r="P72" i="1" s="1"/>
  <c r="P356" i="1"/>
  <c r="P186" i="2"/>
  <c r="O186" i="2"/>
  <c r="O74" i="2"/>
  <c r="P358" i="2"/>
  <c r="M139" i="1"/>
  <c r="P139" i="1" s="1"/>
  <c r="O141" i="2"/>
  <c r="P175" i="1"/>
  <c r="P59" i="2"/>
  <c r="M303" i="2"/>
  <c r="P303" i="2" s="1"/>
  <c r="P176" i="2"/>
  <c r="L94" i="2"/>
  <c r="O94" i="2" s="1"/>
  <c r="P189" i="2"/>
  <c r="P127" i="2"/>
  <c r="M125" i="2"/>
  <c r="P125" i="2" s="1"/>
  <c r="O188" i="1"/>
  <c r="P173" i="1"/>
  <c r="P282" i="2"/>
  <c r="O46" i="2"/>
  <c r="L139" i="1"/>
  <c r="O139" i="1" s="1"/>
  <c r="M266" i="2"/>
  <c r="P266" i="2" s="1"/>
  <c r="P175" i="2"/>
  <c r="P62" i="2"/>
  <c r="I231" i="2"/>
  <c r="K231" i="2" s="1"/>
  <c r="M94" i="2"/>
  <c r="P94" i="2" s="1"/>
  <c r="P356" i="2"/>
  <c r="O142" i="2"/>
  <c r="M320" i="2"/>
  <c r="P320" i="2" s="1"/>
  <c r="O186" i="1"/>
  <c r="P188" i="2"/>
  <c r="O336" i="2"/>
  <c r="O322" i="2"/>
  <c r="L320" i="2"/>
  <c r="O320" i="2" s="1"/>
  <c r="O72" i="2"/>
  <c r="L377" i="2"/>
  <c r="O377" i="2" s="1"/>
  <c r="O336" i="1"/>
  <c r="P306" i="2"/>
  <c r="I71" i="2"/>
  <c r="K71" i="2" s="1"/>
  <c r="M377" i="2"/>
  <c r="P377" i="2" s="1"/>
  <c r="L173" i="2"/>
  <c r="O173" i="2" s="1"/>
  <c r="M44" i="2"/>
  <c r="P44" i="2" s="1"/>
  <c r="M157" i="2"/>
  <c r="P157" i="2" s="1"/>
  <c r="P282" i="1"/>
  <c r="O282" i="2"/>
  <c r="O61" i="2"/>
  <c r="N139" i="2"/>
  <c r="N333" i="2"/>
  <c r="P333" i="2" s="1"/>
  <c r="L266" i="1"/>
  <c r="O266" i="1" s="1"/>
  <c r="K332" i="1"/>
  <c r="K83" i="1"/>
  <c r="P44" i="1"/>
  <c r="O19" i="2"/>
  <c r="P61" i="2"/>
  <c r="L333" i="2"/>
  <c r="O335" i="2"/>
  <c r="M173" i="2"/>
  <c r="P173" i="2" s="1"/>
  <c r="O359" i="2"/>
  <c r="L266" i="2"/>
  <c r="O266" i="2" s="1"/>
  <c r="M72" i="2"/>
  <c r="P72" i="2" s="1"/>
  <c r="L356" i="2"/>
  <c r="O356" i="2" s="1"/>
  <c r="O358" i="2"/>
  <c r="O284" i="2"/>
  <c r="P335" i="1"/>
  <c r="P23" i="2"/>
  <c r="M21" i="2"/>
  <c r="M20" i="2"/>
  <c r="O44" i="2"/>
  <c r="P284" i="2"/>
  <c r="P141" i="2"/>
  <c r="O59" i="2"/>
  <c r="L20" i="2"/>
  <c r="L18" i="2" s="1"/>
  <c r="O23" i="2"/>
  <c r="N20" i="2"/>
  <c r="N18" i="2" s="1"/>
  <c r="N21" i="2"/>
  <c r="O21" i="2" s="1"/>
  <c r="L24" i="2"/>
  <c r="O24" i="2" s="1"/>
  <c r="L232" i="2"/>
  <c r="P284" i="1"/>
  <c r="P23" i="1"/>
  <c r="P358" i="1"/>
  <c r="O379" i="1"/>
  <c r="L377" i="1"/>
  <c r="O377" i="1" s="1"/>
  <c r="P189" i="1"/>
  <c r="P62" i="1"/>
  <c r="N333" i="1"/>
  <c r="N40" i="1" s="1"/>
  <c r="P303" i="1"/>
  <c r="L320" i="1"/>
  <c r="O320" i="1" s="1"/>
  <c r="L356" i="1"/>
  <c r="O356" i="1" s="1"/>
  <c r="O358" i="1"/>
  <c r="O127" i="1"/>
  <c r="L125" i="1"/>
  <c r="O125" i="1" s="1"/>
  <c r="M377" i="1"/>
  <c r="P377" i="1" s="1"/>
  <c r="P379" i="1"/>
  <c r="O61" i="1"/>
  <c r="O21" i="1"/>
  <c r="N20" i="1"/>
  <c r="N18" i="1" s="1"/>
  <c r="O305" i="1"/>
  <c r="L303" i="1"/>
  <c r="O303" i="1" s="1"/>
  <c r="P46" i="1"/>
  <c r="P61" i="1"/>
  <c r="M59" i="1"/>
  <c r="O159" i="1"/>
  <c r="L157" i="1"/>
  <c r="O157" i="1" s="1"/>
  <c r="P322" i="1"/>
  <c r="M320" i="1"/>
  <c r="P320" i="1" s="1"/>
  <c r="P96" i="1"/>
  <c r="M94" i="1"/>
  <c r="P94" i="1" s="1"/>
  <c r="L94" i="1"/>
  <c r="O94" i="1" s="1"/>
  <c r="O243" i="1"/>
  <c r="L232" i="1"/>
  <c r="O26" i="1"/>
  <c r="L24" i="1"/>
  <c r="O24" i="1" s="1"/>
  <c r="K242" i="1"/>
  <c r="I231" i="1"/>
  <c r="O59" i="1"/>
  <c r="O175" i="1"/>
  <c r="L173" i="1"/>
  <c r="O173" i="1" s="1"/>
  <c r="M24" i="1"/>
  <c r="P24" i="1" s="1"/>
  <c r="P47" i="1"/>
  <c r="O23" i="1"/>
  <c r="L20" i="1"/>
  <c r="O46" i="1"/>
  <c r="L44" i="1"/>
  <c r="P188" i="1"/>
  <c r="M186" i="1"/>
  <c r="P186" i="1" s="1"/>
  <c r="M20" i="1"/>
  <c r="O284" i="1"/>
  <c r="L282" i="1"/>
  <c r="O282" i="1" s="1"/>
  <c r="O74" i="1"/>
  <c r="L72" i="1"/>
  <c r="O72" i="1" s="1"/>
  <c r="P21" i="1"/>
  <c r="O333" i="5" l="1"/>
  <c r="P186" i="17"/>
  <c r="P20" i="16"/>
  <c r="N40" i="17"/>
  <c r="P21" i="17"/>
  <c r="K231" i="17"/>
  <c r="I185" i="17"/>
  <c r="K185" i="17" s="1"/>
  <c r="P44" i="17"/>
  <c r="M40" i="17"/>
  <c r="P20" i="17"/>
  <c r="M18" i="17"/>
  <c r="P18" i="17" s="1"/>
  <c r="O44" i="17"/>
  <c r="L40" i="17"/>
  <c r="O20" i="17"/>
  <c r="L18" i="17"/>
  <c r="O18" i="17" s="1"/>
  <c r="M18" i="16"/>
  <c r="P18" i="16" s="1"/>
  <c r="O303" i="16"/>
  <c r="O333" i="16"/>
  <c r="L40" i="16"/>
  <c r="P44" i="16"/>
  <c r="M40" i="16"/>
  <c r="K231" i="16"/>
  <c r="I185" i="16"/>
  <c r="K185" i="16" s="1"/>
  <c r="O20" i="16"/>
  <c r="L18" i="16"/>
  <c r="O18" i="16" s="1"/>
  <c r="N40" i="16"/>
  <c r="P21" i="15"/>
  <c r="P20" i="15"/>
  <c r="M18" i="15"/>
  <c r="P18" i="15" s="1"/>
  <c r="O20" i="15"/>
  <c r="L18" i="15"/>
  <c r="O18" i="15" s="1"/>
  <c r="O44" i="15"/>
  <c r="L40" i="15"/>
  <c r="O40" i="15" s="1"/>
  <c r="K231" i="15"/>
  <c r="I185" i="15"/>
  <c r="K185" i="15" s="1"/>
  <c r="P44" i="15"/>
  <c r="M40" i="15"/>
  <c r="P40" i="15" s="1"/>
  <c r="O59" i="14"/>
  <c r="P59" i="14"/>
  <c r="K231" i="14"/>
  <c r="I185" i="14"/>
  <c r="K185" i="14" s="1"/>
  <c r="P21" i="14"/>
  <c r="L40" i="14"/>
  <c r="O40" i="14" s="1"/>
  <c r="P20" i="14"/>
  <c r="M18" i="14"/>
  <c r="P18" i="14" s="1"/>
  <c r="O21" i="14"/>
  <c r="M40" i="14"/>
  <c r="P40" i="14" s="1"/>
  <c r="O20" i="14"/>
  <c r="L18" i="14"/>
  <c r="O18" i="14" s="1"/>
  <c r="O20" i="12"/>
  <c r="P20" i="12"/>
  <c r="K231" i="12"/>
  <c r="P44" i="13"/>
  <c r="M40" i="13"/>
  <c r="P40" i="13" s="1"/>
  <c r="P20" i="13"/>
  <c r="M18" i="13"/>
  <c r="P18" i="13" s="1"/>
  <c r="K231" i="13"/>
  <c r="I185" i="13"/>
  <c r="K185" i="13" s="1"/>
  <c r="O20" i="13"/>
  <c r="L18" i="13"/>
  <c r="O18" i="13" s="1"/>
  <c r="O44" i="13"/>
  <c r="L40" i="13"/>
  <c r="O40" i="13" s="1"/>
  <c r="P21" i="13"/>
  <c r="L40" i="12"/>
  <c r="O40" i="12" s="1"/>
  <c r="M18" i="12"/>
  <c r="P18" i="12" s="1"/>
  <c r="P21" i="12"/>
  <c r="L18" i="12"/>
  <c r="O18" i="12" s="1"/>
  <c r="P44" i="12"/>
  <c r="M40" i="12"/>
  <c r="P40" i="12" s="1"/>
  <c r="P303" i="10"/>
  <c r="K231" i="11"/>
  <c r="I185" i="11"/>
  <c r="K185" i="11" s="1"/>
  <c r="L40" i="11"/>
  <c r="O40" i="11" s="1"/>
  <c r="P44" i="11"/>
  <c r="M40" i="11"/>
  <c r="P40" i="11" s="1"/>
  <c r="O20" i="11"/>
  <c r="L18" i="11"/>
  <c r="O18" i="11" s="1"/>
  <c r="P20" i="11"/>
  <c r="M18" i="11"/>
  <c r="P18" i="11" s="1"/>
  <c r="L40" i="10"/>
  <c r="K231" i="10"/>
  <c r="I185" i="10"/>
  <c r="K185" i="10" s="1"/>
  <c r="P44" i="10"/>
  <c r="M40" i="10"/>
  <c r="O20" i="10"/>
  <c r="L18" i="10"/>
  <c r="O18" i="10" s="1"/>
  <c r="P20" i="10"/>
  <c r="P139" i="10"/>
  <c r="O139" i="10"/>
  <c r="P18" i="10"/>
  <c r="N40" i="10"/>
  <c r="M40" i="9"/>
  <c r="P40" i="9" s="1"/>
  <c r="O20" i="9"/>
  <c r="L18" i="9"/>
  <c r="O18" i="9" s="1"/>
  <c r="L40" i="9"/>
  <c r="O40" i="9" s="1"/>
  <c r="P20" i="9"/>
  <c r="M18" i="9"/>
  <c r="P18" i="9" s="1"/>
  <c r="I185" i="8"/>
  <c r="K185" i="8" s="1"/>
  <c r="I185" i="7"/>
  <c r="K185" i="7" s="1"/>
  <c r="O20" i="8"/>
  <c r="L18" i="8"/>
  <c r="O18" i="8" s="1"/>
  <c r="N40" i="7"/>
  <c r="P139" i="7"/>
  <c r="P20" i="8"/>
  <c r="M18" i="8"/>
  <c r="P18" i="8" s="1"/>
  <c r="L40" i="8"/>
  <c r="O40" i="8" s="1"/>
  <c r="P44" i="8"/>
  <c r="M40" i="8"/>
  <c r="P40" i="8" s="1"/>
  <c r="O356" i="6"/>
  <c r="P21" i="7"/>
  <c r="O20" i="7"/>
  <c r="L18" i="7"/>
  <c r="O18" i="7" s="1"/>
  <c r="P20" i="7"/>
  <c r="M18" i="7"/>
  <c r="P18" i="7" s="1"/>
  <c r="L40" i="7"/>
  <c r="M40" i="7"/>
  <c r="P21" i="6"/>
  <c r="N40" i="6"/>
  <c r="O333" i="6"/>
  <c r="P333" i="6"/>
  <c r="O20" i="6"/>
  <c r="L18" i="6"/>
  <c r="O18" i="6" s="1"/>
  <c r="K231" i="6"/>
  <c r="I185" i="6"/>
  <c r="K185" i="6" s="1"/>
  <c r="P44" i="6"/>
  <c r="M40" i="6"/>
  <c r="L40" i="6"/>
  <c r="P20" i="6"/>
  <c r="M18" i="6"/>
  <c r="P18" i="6" s="1"/>
  <c r="N40" i="5"/>
  <c r="L40" i="5"/>
  <c r="P20" i="5"/>
  <c r="M18" i="5"/>
  <c r="P18" i="5" s="1"/>
  <c r="P44" i="5"/>
  <c r="M40" i="5"/>
  <c r="O20" i="5"/>
  <c r="L18" i="5"/>
  <c r="O18" i="5" s="1"/>
  <c r="P21" i="5"/>
  <c r="K231" i="5"/>
  <c r="I185" i="5"/>
  <c r="K185" i="5" s="1"/>
  <c r="P333" i="4"/>
  <c r="L40" i="4"/>
  <c r="N40" i="4"/>
  <c r="O20" i="4"/>
  <c r="L18" i="4"/>
  <c r="O18" i="4" s="1"/>
  <c r="P21" i="4"/>
  <c r="P44" i="4"/>
  <c r="M40" i="4"/>
  <c r="P20" i="4"/>
  <c r="M18" i="4"/>
  <c r="P18" i="4" s="1"/>
  <c r="L40" i="3"/>
  <c r="O40" i="3" s="1"/>
  <c r="O333" i="3"/>
  <c r="P333" i="3"/>
  <c r="O20" i="3"/>
  <c r="L18" i="3"/>
  <c r="O18" i="3" s="1"/>
  <c r="N40" i="2"/>
  <c r="K231" i="3"/>
  <c r="I185" i="3"/>
  <c r="K185" i="3" s="1"/>
  <c r="O21" i="3"/>
  <c r="P21" i="3"/>
  <c r="P20" i="3"/>
  <c r="M18" i="3"/>
  <c r="P18" i="3" s="1"/>
  <c r="P44" i="3"/>
  <c r="M40" i="3"/>
  <c r="P40" i="3" s="1"/>
  <c r="I185" i="2"/>
  <c r="K185" i="2" s="1"/>
  <c r="M40" i="2"/>
  <c r="L40" i="2"/>
  <c r="O18" i="2"/>
  <c r="O20" i="2"/>
  <c r="P20" i="2"/>
  <c r="M18" i="2"/>
  <c r="P18" i="2" s="1"/>
  <c r="P139" i="2"/>
  <c r="O139" i="2"/>
  <c r="P21" i="2"/>
  <c r="O333" i="2"/>
  <c r="O333" i="1"/>
  <c r="P333" i="1"/>
  <c r="L40" i="1"/>
  <c r="O40" i="1" s="1"/>
  <c r="O44" i="1"/>
  <c r="P20" i="1"/>
  <c r="M18" i="1"/>
  <c r="P18" i="1" s="1"/>
  <c r="I185" i="1"/>
  <c r="K185" i="1" s="1"/>
  <c r="K231" i="1"/>
  <c r="O20" i="1"/>
  <c r="L18" i="1"/>
  <c r="O18" i="1" s="1"/>
  <c r="P59" i="1"/>
  <c r="M40" i="1"/>
  <c r="P40" i="1" s="1"/>
  <c r="P40" i="17" l="1"/>
  <c r="O40" i="17"/>
  <c r="P40" i="16"/>
  <c r="O40" i="16"/>
  <c r="O40" i="10"/>
  <c r="P40" i="10"/>
  <c r="P40" i="7"/>
  <c r="O40" i="7"/>
  <c r="P40" i="6"/>
  <c r="O40" i="6"/>
  <c r="O40" i="5"/>
  <c r="P40" i="5"/>
  <c r="P40" i="4"/>
  <c r="O40" i="4"/>
  <c r="O40" i="2"/>
  <c r="P40" i="2"/>
</calcChain>
</file>

<file path=xl/sharedStrings.xml><?xml version="1.0" encoding="utf-8"?>
<sst xmlns="http://schemas.openxmlformats.org/spreadsheetml/2006/main" count="11373" uniqueCount="176">
  <si>
    <t>รายละเอียดแผนงาน/โครงการ ผลผลิต/กิจกรรม ปีงบประมาณ พ.ศ. 2567</t>
  </si>
  <si>
    <t>สำนักงานการปฏิรูปที่ดินจังหวัด กำแพงเพชร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</si>
  <si>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</si>
  <si>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</si>
  <si>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</si>
  <si>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</si>
  <si>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</si>
  <si>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</si>
  <si>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</si>
  <si>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</si>
  <si>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</si>
  <si>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</si>
  <si>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</si>
  <si>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</si>
  <si>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</si>
  <si>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 ประจำปีงบประมาณ พ.ศ. 2566 ไปพลางก่อน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</si>
  <si>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</si>
  <si>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</si>
  <si>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</si>
  <si>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</si>
  <si>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</si>
  <si>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</si>
  <si>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งบบุคลากร</t>
  </si>
  <si>
    <t>งบประมาณ ประจำปีงบประมาณ พ.ศ. 2566 ไปพลางก่อน</t>
  </si>
  <si>
    <t>แผนงานบุคลากรภาครัฐ</t>
  </si>
  <si>
    <t>รายการบุคลากรภาครัฐ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</si>
  <si>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</si>
  <si>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</si>
  <si>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</si>
  <si>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</si>
  <si>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</si>
  <si>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</si>
  <si>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</si>
  <si>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</si>
  <si>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</si>
  <si>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</si>
  <si>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</si>
  <si>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</si>
  <si>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2567</t>
  </si>
  <si>
    <t xml:space="preserve"> - แปลงใหญ่ ปี 2566</t>
  </si>
  <si>
    <t xml:space="preserve"> - แปลงใหญ่ ปี 2565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</si>
  <si>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</si>
  <si>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</si>
  <si>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</si>
  <si>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</si>
  <si>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ขั้นที่ 1</t>
  </si>
  <si>
    <t>- พื้นที่ที่ได้รับการส่งเสริมเป็นเกษตรทฤษฎีใหม่</t>
  </si>
  <si>
    <t>- เกษตรกรได้รับการส่งเสริมองค์ความรู้เกี่ยวกับเกษตรทฤษฎีใหม่</t>
  </si>
  <si>
    <t>- สนับสนุนปัจจัยการผลิต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</si>
  <si>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</si>
  <si>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</si>
  <si>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</si>
  <si>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</si>
  <si>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</si>
  <si>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แห่ง</t>
  </si>
  <si>
    <t>อบรมเกษตรกร</t>
  </si>
  <si>
    <t>กลุ่ม</t>
  </si>
  <si>
    <t>- การเตรียมการ (การจัดทำฐานข้อมูลสมุนไพรและแผนการผลิต ฯ)</t>
  </si>
  <si>
    <r>
      <rPr>
        <b/>
        <sz val="15"/>
        <color theme="1"/>
        <rFont val="Arial"/>
      </rPr>
      <t>- หลักสูตรที่ 1</t>
    </r>
    <r>
      <rPr>
        <b/>
        <sz val="15"/>
        <color theme="1"/>
        <rFont val="Arial"/>
      </rPr>
      <t xml:space="preserve"> การดูแลรักษาโรงอบ ฯ</t>
    </r>
  </si>
  <si>
    <r>
      <rPr>
        <b/>
        <sz val="15"/>
        <color theme="1"/>
        <rFont val="Arial"/>
      </rPr>
      <t>- หลักสูตรที่ 2</t>
    </r>
    <r>
      <rPr>
        <b/>
        <sz val="15"/>
        <color theme="1"/>
        <rFont val="Arial"/>
      </rPr>
      <t xml:space="preserve"> การแปรรูปสมุนไพรด้วยโรงอบ ฯ</t>
    </r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</si>
  <si>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</si>
  <si>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</si>
  <si>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</si>
  <si>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(จังหวัด)</t>
  </si>
  <si>
    <t>- เกษตรกรได้รับการตรวจรับรองมาตรฐาน GAP (ส่วนกลาง)</t>
  </si>
  <si>
    <t>- เกษตรกรได้การรับรองสินค้าตามมาตรฐาน GAP (ส่วนกลาง)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</si>
  <si>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</si>
  <si>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</si>
  <si>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</si>
  <si>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>- หลักสูตรศิลปาชีพเพื่อเกษตรในเขตปฏิรูปที่ดิน (ระยะสั้น) โดยจังหวัด</t>
  </si>
  <si>
    <t>- หลักสูตรศิลปาชีพเพื่อผู้สนใจ (ระยะยาว) โดย ศพส.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</si>
  <si>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</si>
  <si>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</si>
  <si>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</si>
  <si>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</si>
  <si>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</si>
  <si>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</si>
  <si>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</si>
  <si>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</si>
  <si>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</si>
  <si>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</si>
  <si>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ค่าเบี้ยเลี้ยง/ที่พัก/พาหนะ</t>
  </si>
  <si>
    <t>- งบอบรม</t>
  </si>
  <si>
    <t>- ค่าวัสดุการเกษตร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</si>
  <si>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</si>
  <si>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</si>
  <si>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</si>
  <si>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</si>
  <si>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</si>
  <si>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วัสดุการเกษตร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</si>
  <si>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</si>
  <si>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</si>
  <si>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</si>
  <si>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</si>
  <si>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ค่าใช้จ่ายในการบริหารงาน</t>
  </si>
  <si>
    <t>- ค่าใช้จ่ายในการปฏิบัติงาน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</si>
  <si>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</si>
  <si>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</si>
  <si>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</si>
  <si>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</si>
  <si>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</si>
  <si>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</si>
  <si>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>- งบปัจจัยต้นแบบ/ศูนย์/กิจกรรม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</si>
  <si>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</si>
  <si>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</si>
  <si>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</si>
  <si>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</si>
  <si>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</si>
  <si>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</si>
  <si>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</si>
  <si>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หลักสูตรการพัฒนาภาวะผู้นำแก่ผู้นำเกษตรกร (สพท.)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</si>
  <si>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</si>
  <si>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</si>
  <si>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</si>
  <si>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</si>
  <si>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</t>
  </si>
  <si>
    <r>
      <rPr>
        <b/>
        <sz val="15"/>
        <color theme="1"/>
        <rFont val="Arial"/>
      </rPr>
      <t xml:space="preserve">หลักสูตร </t>
    </r>
    <r>
      <rPr>
        <sz val="15"/>
        <color theme="1"/>
        <rFont val="Arial"/>
      </rPr>
      <t>แนวทางการเฝ้าระวังการเผาไหม้ฯ</t>
    </r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</si>
  <si>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theme="1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</si>
  <si>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theme="1"/>
        <rFont val="Arial"/>
      </rPr>
      <t>เฉพาะ</t>
    </r>
    <r>
      <rPr>
        <sz val="15"/>
        <color theme="1"/>
        <rFont val="Arial"/>
      </rPr>
      <t xml:space="preserve"> ที่ได้รับการอบรม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</si>
  <si>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</si>
  <si>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</si>
  <si>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</si>
  <si>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</si>
  <si>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ผู้ประกอบการต้นแบบ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</si>
  <si>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</si>
  <si>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</si>
  <si>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</si>
  <si>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</si>
  <si>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</si>
  <si>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</si>
  <si>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</si>
  <si>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ให้บริการเกษตรกรด้านอื่น ๆ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</si>
  <si>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</si>
  <si>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</si>
  <si>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</si>
  <si>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</si>
  <si>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</si>
  <si>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ผู้รับบริการจากระบบออนไลน์</t>
  </si>
  <si>
    <t>- ผู้รับบริการจากการออกรับบริการร่วมกับหน่วยงานภายนอกอื่น ๆ</t>
  </si>
  <si>
    <t>ให้บริการรับคำร้องแสดงความประสงค์ขอออกโฉนดเพื่อการเกษตร</t>
  </si>
  <si>
    <t>- เจ้าหน้าที่ยังไม่ได้รับเรื่อง</t>
  </si>
  <si>
    <t>- อยู่ระหว่างตรวจสอบตามขั้นตอนออกโฉนด (ขั้นตอน 1-10)</t>
  </si>
  <si>
    <t>กิจกรรมจัดที่ดิน</t>
  </si>
  <si>
    <t>จัดที่ดิน แปลงเกษตรกรรม</t>
  </si>
  <si>
    <t>- รังวัด</t>
  </si>
  <si>
    <t>- สอบสวนสิทธิ</t>
  </si>
  <si>
    <t>- มอบ ส.ป.ก. 4-01 (ภายใน พ.ค.67)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</si>
  <si>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</si>
  <si>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</si>
  <si>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</si>
  <si>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</si>
  <si>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</si>
  <si>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หมายเหตุ :</t>
  </si>
  <si>
    <t>- งบบริหารโครงการ</t>
  </si>
  <si>
    <t>สำนักงานการปฏิรูปที่ดินจังหวัด เชียงราย</t>
  </si>
  <si>
    <t>(5) โครงการธนาคารอาหารชุมชน (เกษตรวิชญา)</t>
  </si>
  <si>
    <t>สำนักงานการปฏิรูปที่ดินจังหวัด เชียงใหม่</t>
  </si>
  <si>
    <t>สำนักงานการปฏิรูปที่ดินจังหวัด ตาก</t>
  </si>
  <si>
    <t>สำนักงานการปฏิรูปที่ดินจังหวัด นครสวรรค์</t>
  </si>
  <si>
    <t>(6) โครงการปิดทองหลังพระตามพระราชดำริฯ</t>
  </si>
  <si>
    <t>(5) โครงการศูนย์ภูฟ้าพัฒนาตามพระราชดำริฯ</t>
  </si>
  <si>
    <t>สำนักงานการปฏิรูปที่ดินจังหวัด น่าน</t>
  </si>
  <si>
    <t>(5) โครงการศูนย์เรียนรู้การพัฒนาเกษตรอ่างเก็บน้ำห้วยไฟฯ</t>
  </si>
  <si>
    <t>สำนักงานการปฏิรูปที่ดินจังหวัด พะเยา</t>
  </si>
  <si>
    <t>สำนักงานการปฏิรูปที่ดินจังหวัด พิจิตร</t>
  </si>
  <si>
    <t>สำนักงานการปฏิรูปที่ดินจังหวัด พิษณุโลก</t>
  </si>
  <si>
    <t>สำนักงานการปฏิรูปที่ดินจังหวัด เพชรบูรณ์</t>
  </si>
  <si>
    <t>สำนักงานการปฏิรูปที่ดินจังหวัด แพร่</t>
  </si>
  <si>
    <t>สำนักงานการปฏิรูปที่ดินจังหวัด แม่ฮ่องสอน</t>
  </si>
  <si>
    <t>สำนักงานการปฏิรูปที่ดินจังหวัด ลำปาง</t>
  </si>
  <si>
    <t>(5) โครงการพัฒนาพื้นที่ลุ่มน้ำแม่อาวฯ</t>
  </si>
  <si>
    <t>สำนักงานการปฏิรูปที่ดินจังหวัด ลำพูน</t>
  </si>
  <si>
    <t>สำนักงานการปฏิรูปที่ดินจังหวัด สุโขทัย</t>
  </si>
  <si>
    <t>สำนักงานการปฏิรูปที่ดินจังหวัด อุตรดิตถ์</t>
  </si>
  <si>
    <t>สำนักงานการปฏิรูปที่ดินจังหวัด อุทัยธานี</t>
  </si>
  <si>
    <t>ข้อมูล ณ 15 ธ.ค.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</si>
</sst>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</numFmts>
  <fonts count="30" x14ac:knownFonts="1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sz val="10"/>
      <color theme="1"/>
      <name val="Arial"/>
      <scheme val="minor"/>
    </font>
    <font>
      <b/>
      <u/>
      <sz val="15"/>
      <color theme="1"/>
      <name val="Arial"/>
    </font>
    <font>
      <sz val="15"/>
      <color rgb="FFFF0000"/>
      <name val="Arial"/>
    </font>
    <font>
      <sz val="15"/>
      <color theme="1"/>
      <name val="Arial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u/>
      <sz val="15"/>
      <color theme="1"/>
      <name val="Arial"/>
    </font>
    <font>
      <b/>
      <u/>
      <sz val="15"/>
      <color theme="1"/>
      <name val="Arial"/>
    </font>
    <font>
      <b/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u/>
      <sz val="15"/>
      <color rgb="FFFF0000"/>
      <name val="Arial"/>
    </font>
    <font>
      <b/>
      <sz val="15"/>
      <color rgb="FFFFFFFF"/>
      <name val="Arial"/>
    </font>
    <font>
      <b/>
      <u/>
      <sz val="15"/>
      <color theme="1"/>
      <name val="Arial"/>
    </font>
    <font>
      <i/>
      <sz val="13"/>
      <color theme="1"/>
      <name val="Arial"/>
    </font>
    <font>
      <b/>
      <u/>
      <sz val="15"/>
      <color theme="1"/>
      <name val="Arial"/>
    </font>
    <font>
      <sz val="15"/>
      <color rgb="FF000000"/>
      <name val="Arial"/>
    </font>
    <font>
      <sz val="10"/>
      <color rgb="FF000000"/>
      <name val="Arial"/>
    </font>
    <font>
      <b/>
      <u/>
      <sz val="15"/>
      <color rgb="FF000000"/>
      <name val="Arial"/>
    </font>
    <font>
      <b/>
      <sz val="15"/>
      <color rgb="FF000000"/>
      <name val="Arial"/>
    </font>
    <font>
      <sz val="10"/>
      <color rgb="FFFF0000"/>
      <name val="Arial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99999"/>
        <bgColor rgb="FF999999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7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0" fontId="2" fillId="8" borderId="4" xfId="0" applyFont="1" applyFill="1" applyBorder="1" applyAlignment="1"/>
    <xf numFmtId="189" fontId="2" fillId="8" borderId="4" xfId="0" applyNumberFormat="1" applyFont="1" applyFill="1" applyBorder="1" applyAlignment="1"/>
    <xf numFmtId="188" fontId="2" fillId="8" borderId="4" xfId="0" applyNumberFormat="1" applyFont="1" applyFill="1" applyBorder="1" applyAlignment="1"/>
    <xf numFmtId="0" fontId="2" fillId="8" borderId="6" xfId="0" applyFont="1" applyFill="1" applyBorder="1" applyAlignment="1"/>
    <xf numFmtId="0" fontId="2" fillId="8" borderId="7" xfId="0" applyFont="1" applyFill="1" applyBorder="1" applyAlignment="1"/>
    <xf numFmtId="0" fontId="2" fillId="8" borderId="8" xfId="0" applyFont="1" applyFill="1" applyBorder="1" applyAlignment="1"/>
    <xf numFmtId="189" fontId="2" fillId="8" borderId="8" xfId="0" applyNumberFormat="1" applyFont="1" applyFill="1" applyBorder="1" applyAlignment="1"/>
    <xf numFmtId="188" fontId="2" fillId="8" borderId="8" xfId="0" applyNumberFormat="1" applyFont="1" applyFill="1" applyBorder="1" applyAlignment="1"/>
    <xf numFmtId="0" fontId="2" fillId="8" borderId="5" xfId="0" applyFont="1" applyFill="1" applyBorder="1" applyAlignment="1"/>
    <xf numFmtId="0" fontId="2" fillId="8" borderId="1" xfId="0" applyFont="1" applyFill="1" applyBorder="1" applyAlignment="1"/>
    <xf numFmtId="0" fontId="2" fillId="9" borderId="4" xfId="0" applyFont="1" applyFill="1" applyBorder="1" applyAlignment="1"/>
    <xf numFmtId="189" fontId="2" fillId="9" borderId="4" xfId="0" applyNumberFormat="1" applyFont="1" applyFill="1" applyBorder="1" applyAlignment="1"/>
    <xf numFmtId="188" fontId="2" fillId="9" borderId="4" xfId="0" applyNumberFormat="1" applyFont="1" applyFill="1" applyBorder="1" applyAlignment="1"/>
    <xf numFmtId="0" fontId="2" fillId="10" borderId="6" xfId="0" applyFont="1" applyFill="1" applyBorder="1" applyAlignment="1"/>
    <xf numFmtId="0" fontId="2" fillId="10" borderId="7" xfId="0" applyFont="1" applyFill="1" applyBorder="1" applyAlignment="1"/>
    <xf numFmtId="0" fontId="1" fillId="10" borderId="7" xfId="0" applyFont="1" applyFill="1" applyBorder="1" applyAlignment="1"/>
    <xf numFmtId="0" fontId="5" fillId="10" borderId="7" xfId="0" applyFont="1" applyFill="1" applyBorder="1" applyAlignment="1"/>
    <xf numFmtId="0" fontId="2" fillId="10" borderId="8" xfId="0" applyFont="1" applyFill="1" applyBorder="1" applyAlignment="1"/>
    <xf numFmtId="0" fontId="1" fillId="10" borderId="8" xfId="0" applyFont="1" applyFill="1" applyBorder="1" applyAlignment="1">
      <alignment horizontal="center"/>
    </xf>
    <xf numFmtId="189" fontId="2" fillId="10" borderId="8" xfId="0" applyNumberFormat="1" applyFont="1" applyFill="1" applyBorder="1" applyAlignment="1"/>
    <xf numFmtId="188" fontId="2" fillId="10" borderId="8" xfId="0" applyNumberFormat="1" applyFont="1" applyFill="1" applyBorder="1" applyAlignment="1"/>
    <xf numFmtId="188" fontId="1" fillId="10" borderId="8" xfId="0" applyNumberFormat="1" applyFont="1" applyFill="1" applyBorder="1" applyAlignment="1">
      <alignment horizontal="right"/>
    </xf>
    <xf numFmtId="0" fontId="6" fillId="10" borderId="7" xfId="0" applyFont="1" applyFill="1" applyBorder="1" applyAlignment="1"/>
    <xf numFmtId="0" fontId="6" fillId="10" borderId="8" xfId="0" applyFont="1" applyFill="1" applyBorder="1" applyAlignment="1">
      <alignment horizontal="center"/>
    </xf>
    <xf numFmtId="188" fontId="6" fillId="10" borderId="8" xfId="0" applyNumberFormat="1" applyFont="1" applyFill="1" applyBorder="1" applyAlignment="1">
      <alignment horizontal="right"/>
    </xf>
    <xf numFmtId="0" fontId="7" fillId="10" borderId="7" xfId="0" applyFont="1" applyFill="1" applyBorder="1" applyAlignment="1"/>
    <xf numFmtId="0" fontId="7" fillId="10" borderId="8" xfId="0" applyFont="1" applyFill="1" applyBorder="1" applyAlignment="1">
      <alignment horizontal="center"/>
    </xf>
    <xf numFmtId="188" fontId="7" fillId="10" borderId="8" xfId="0" applyNumberFormat="1" applyFont="1" applyFill="1" applyBorder="1" applyAlignment="1">
      <alignment horizontal="right"/>
    </xf>
    <xf numFmtId="0" fontId="2" fillId="2" borderId="6" xfId="0" applyFont="1" applyFill="1" applyBorder="1" applyAlignment="1"/>
    <xf numFmtId="0" fontId="2" fillId="2" borderId="7" xfId="0" applyFont="1" applyFill="1" applyBorder="1" applyAlignment="1"/>
    <xf numFmtId="0" fontId="8" fillId="2" borderId="7" xfId="0" applyFont="1" applyFill="1" applyBorder="1" applyAlignment="1"/>
    <xf numFmtId="0" fontId="2" fillId="2" borderId="8" xfId="0" applyFont="1" applyFill="1" applyBorder="1" applyAlignment="1"/>
    <xf numFmtId="0" fontId="7" fillId="2" borderId="8" xfId="0" applyFont="1" applyFill="1" applyBorder="1" applyAlignment="1">
      <alignment horizontal="center"/>
    </xf>
    <xf numFmtId="189" fontId="2" fillId="2" borderId="8" xfId="0" applyNumberFormat="1" applyFont="1" applyFill="1" applyBorder="1" applyAlignment="1"/>
    <xf numFmtId="188" fontId="2" fillId="2" borderId="8" xfId="0" applyNumberFormat="1" applyFont="1" applyFill="1" applyBorder="1" applyAlignment="1"/>
    <xf numFmtId="188" fontId="7" fillId="2" borderId="8" xfId="0" applyNumberFormat="1" applyFont="1" applyFill="1" applyBorder="1" applyAlignment="1">
      <alignment horizontal="right"/>
    </xf>
    <xf numFmtId="0" fontId="6" fillId="2" borderId="7" xfId="0" applyFont="1" applyFill="1" applyBorder="1" applyAlignment="1"/>
    <xf numFmtId="0" fontId="6" fillId="2" borderId="8" xfId="0" applyFont="1" applyFill="1" applyBorder="1" applyAlignment="1">
      <alignment horizontal="center"/>
    </xf>
    <xf numFmtId="188" fontId="6" fillId="2" borderId="8" xfId="0" applyNumberFormat="1" applyFont="1" applyFill="1" applyBorder="1" applyAlignment="1">
      <alignment horizontal="right"/>
    </xf>
    <xf numFmtId="0" fontId="7" fillId="2" borderId="7" xfId="0" applyFont="1" applyFill="1" applyBorder="1" applyAlignment="1"/>
    <xf numFmtId="0" fontId="2" fillId="2" borderId="5" xfId="0" applyFont="1" applyFill="1" applyBorder="1" applyAlignment="1"/>
    <xf numFmtId="0" fontId="7" fillId="2" borderId="1" xfId="0" applyFont="1" applyFill="1" applyBorder="1" applyAlignment="1"/>
    <xf numFmtId="0" fontId="2" fillId="2" borderId="4" xfId="0" applyFont="1" applyFill="1" applyBorder="1" applyAlignment="1"/>
    <xf numFmtId="0" fontId="7" fillId="2" borderId="4" xfId="0" applyFont="1" applyFill="1" applyBorder="1" applyAlignment="1">
      <alignment horizontal="center"/>
    </xf>
    <xf numFmtId="189" fontId="2" fillId="2" borderId="4" xfId="0" applyNumberFormat="1" applyFont="1" applyFill="1" applyBorder="1" applyAlignment="1"/>
    <xf numFmtId="188" fontId="2" fillId="2" borderId="4" xfId="0" applyNumberFormat="1" applyFont="1" applyFill="1" applyBorder="1" applyAlignment="1"/>
    <xf numFmtId="188" fontId="7" fillId="2" borderId="4" xfId="0" applyNumberFormat="1" applyFont="1" applyFill="1" applyBorder="1" applyAlignment="1">
      <alignment horizontal="right"/>
    </xf>
    <xf numFmtId="0" fontId="1" fillId="11" borderId="5" xfId="0" applyFont="1" applyFill="1" applyBorder="1" applyAlignment="1"/>
    <xf numFmtId="0" fontId="2" fillId="11" borderId="1" xfId="0" applyFont="1" applyFill="1" applyBorder="1" applyAlignment="1"/>
    <xf numFmtId="0" fontId="2" fillId="11" borderId="4" xfId="0" applyFont="1" applyFill="1" applyBorder="1" applyAlignment="1"/>
    <xf numFmtId="189" fontId="2" fillId="11" borderId="4" xfId="0" applyNumberFormat="1" applyFont="1" applyFill="1" applyBorder="1" applyAlignment="1"/>
    <xf numFmtId="188" fontId="2" fillId="11" borderId="4" xfId="0" applyNumberFormat="1" applyFont="1" applyFill="1" applyBorder="1" applyAlignment="1"/>
    <xf numFmtId="188" fontId="1" fillId="11" borderId="4" xfId="0" applyNumberFormat="1" applyFont="1" applyFill="1" applyBorder="1" applyAlignment="1">
      <alignment horizontal="right"/>
    </xf>
    <xf numFmtId="0" fontId="1" fillId="12" borderId="5" xfId="0" applyFont="1" applyFill="1" applyBorder="1" applyAlignment="1"/>
    <xf numFmtId="0" fontId="2" fillId="12" borderId="1" xfId="0" applyFont="1" applyFill="1" applyBorder="1" applyAlignment="1"/>
    <xf numFmtId="189" fontId="2" fillId="12" borderId="1" xfId="0" applyNumberFormat="1" applyFont="1" applyFill="1" applyBorder="1" applyAlignment="1"/>
    <xf numFmtId="188" fontId="2" fillId="12" borderId="1" xfId="0" applyNumberFormat="1" applyFont="1" applyFill="1" applyBorder="1" applyAlignment="1"/>
    <xf numFmtId="188" fontId="2" fillId="12" borderId="4" xfId="0" applyNumberFormat="1" applyFont="1" applyFill="1" applyBorder="1" applyAlignment="1"/>
    <xf numFmtId="0" fontId="2" fillId="13" borderId="7" xfId="0" applyFont="1" applyFill="1" applyBorder="1" applyAlignment="1"/>
    <xf numFmtId="0" fontId="1" fillId="13" borderId="7" xfId="0" applyFont="1" applyFill="1" applyBorder="1" applyAlignment="1"/>
    <xf numFmtId="0" fontId="2" fillId="13" borderId="8" xfId="0" applyFont="1" applyFill="1" applyBorder="1" applyAlignment="1"/>
    <xf numFmtId="189" fontId="2" fillId="13" borderId="8" xfId="0" applyNumberFormat="1" applyFont="1" applyFill="1" applyBorder="1" applyAlignment="1"/>
    <xf numFmtId="188" fontId="2" fillId="13" borderId="8" xfId="0" applyNumberFormat="1" applyFont="1" applyFill="1" applyBorder="1" applyAlignment="1"/>
    <xf numFmtId="0" fontId="2" fillId="14" borderId="6" xfId="0" applyFont="1" applyFill="1" applyBorder="1" applyAlignment="1"/>
    <xf numFmtId="0" fontId="2" fillId="14" borderId="7" xfId="0" applyFont="1" applyFill="1" applyBorder="1" applyAlignment="1"/>
    <xf numFmtId="0" fontId="1" fillId="14" borderId="7" xfId="0" applyFont="1" applyFill="1" applyBorder="1" applyAlignment="1"/>
    <xf numFmtId="0" fontId="9" fillId="14" borderId="7" xfId="0" applyFont="1" applyFill="1" applyBorder="1" applyAlignment="1"/>
    <xf numFmtId="0" fontId="2" fillId="14" borderId="8" xfId="0" applyFont="1" applyFill="1" applyBorder="1" applyAlignment="1"/>
    <xf numFmtId="0" fontId="1" fillId="14" borderId="8" xfId="0" applyFont="1" applyFill="1" applyBorder="1" applyAlignment="1">
      <alignment horizontal="center"/>
    </xf>
    <xf numFmtId="189" fontId="2" fillId="14" borderId="8" xfId="0" applyNumberFormat="1" applyFont="1" applyFill="1" applyBorder="1" applyAlignment="1"/>
    <xf numFmtId="188" fontId="2" fillId="14" borderId="8" xfId="0" applyNumberFormat="1" applyFont="1" applyFill="1" applyBorder="1" applyAlignment="1"/>
    <xf numFmtId="188" fontId="1" fillId="14" borderId="8" xfId="0" applyNumberFormat="1" applyFont="1" applyFill="1" applyBorder="1" applyAlignment="1">
      <alignment horizontal="right"/>
    </xf>
    <xf numFmtId="0" fontId="6" fillId="14" borderId="7" xfId="0" applyFont="1" applyFill="1" applyBorder="1" applyAlignment="1"/>
    <xf numFmtId="0" fontId="6" fillId="14" borderId="8" xfId="0" applyFont="1" applyFill="1" applyBorder="1" applyAlignment="1">
      <alignment horizontal="center"/>
    </xf>
    <xf numFmtId="188" fontId="6" fillId="14" borderId="8" xfId="0" applyNumberFormat="1" applyFont="1" applyFill="1" applyBorder="1" applyAlignment="1">
      <alignment horizontal="right"/>
    </xf>
    <xf numFmtId="0" fontId="7" fillId="14" borderId="7" xfId="0" applyFont="1" applyFill="1" applyBorder="1" applyAlignment="1"/>
    <xf numFmtId="0" fontId="7" fillId="14" borderId="8" xfId="0" applyFont="1" applyFill="1" applyBorder="1" applyAlignment="1">
      <alignment horizontal="center"/>
    </xf>
    <xf numFmtId="188" fontId="7" fillId="14" borderId="8" xfId="0" applyNumberFormat="1" applyFont="1" applyFill="1" applyBorder="1" applyAlignment="1">
      <alignment horizontal="right"/>
    </xf>
    <xf numFmtId="0" fontId="2" fillId="15" borderId="1" xfId="0" applyFont="1" applyFill="1" applyBorder="1" applyAlignment="1"/>
    <xf numFmtId="189" fontId="2" fillId="15" borderId="1" xfId="0" applyNumberFormat="1" applyFont="1" applyFill="1" applyBorder="1" applyAlignment="1"/>
    <xf numFmtId="188" fontId="2" fillId="15" borderId="1" xfId="0" applyNumberFormat="1" applyFont="1" applyFill="1" applyBorder="1" applyAlignment="1"/>
    <xf numFmtId="188" fontId="2" fillId="15" borderId="4" xfId="0" applyNumberFormat="1" applyFont="1" applyFill="1" applyBorder="1" applyAlignment="1"/>
    <xf numFmtId="0" fontId="2" fillId="16" borderId="6" xfId="0" applyFont="1" applyFill="1" applyBorder="1" applyAlignment="1"/>
    <xf numFmtId="0" fontId="2" fillId="16" borderId="8" xfId="0" applyFont="1" applyFill="1" applyBorder="1" applyAlignment="1"/>
    <xf numFmtId="189" fontId="2" fillId="16" borderId="8" xfId="0" applyNumberFormat="1" applyFont="1" applyFill="1" applyBorder="1" applyAlignment="1"/>
    <xf numFmtId="188" fontId="2" fillId="16" borderId="8" xfId="0" applyNumberFormat="1" applyFont="1" applyFill="1" applyBorder="1" applyAlignment="1"/>
    <xf numFmtId="0" fontId="2" fillId="17" borderId="6" xfId="0" applyFont="1" applyFill="1" applyBorder="1" applyAlignment="1"/>
    <xf numFmtId="0" fontId="1" fillId="17" borderId="7" xfId="0" applyFont="1" applyFill="1" applyBorder="1" applyAlignment="1"/>
    <xf numFmtId="0" fontId="2" fillId="17" borderId="7" xfId="0" applyFont="1" applyFill="1" applyBorder="1" applyAlignment="1"/>
    <xf numFmtId="0" fontId="2" fillId="17" borderId="8" xfId="0" applyFont="1" applyFill="1" applyBorder="1" applyAlignment="1"/>
    <xf numFmtId="189" fontId="2" fillId="17" borderId="8" xfId="0" applyNumberFormat="1" applyFont="1" applyFill="1" applyBorder="1" applyAlignment="1"/>
    <xf numFmtId="188" fontId="2" fillId="17" borderId="8" xfId="0" applyNumberFormat="1" applyFont="1" applyFill="1" applyBorder="1" applyAlignment="1"/>
    <xf numFmtId="0" fontId="2" fillId="18" borderId="6" xfId="0" applyFont="1" applyFill="1" applyBorder="1" applyAlignment="1"/>
    <xf numFmtId="0" fontId="2" fillId="18" borderId="7" xfId="0" applyFont="1" applyFill="1" applyBorder="1" applyAlignment="1"/>
    <xf numFmtId="0" fontId="1" fillId="18" borderId="7" xfId="0" applyFont="1" applyFill="1" applyBorder="1" applyAlignment="1"/>
    <xf numFmtId="0" fontId="10" fillId="18" borderId="7" xfId="0" applyFont="1" applyFill="1" applyBorder="1" applyAlignment="1"/>
    <xf numFmtId="0" fontId="2" fillId="18" borderId="8" xfId="0" applyFont="1" applyFill="1" applyBorder="1" applyAlignment="1"/>
    <xf numFmtId="0" fontId="1" fillId="18" borderId="8" xfId="0" applyFont="1" applyFill="1" applyBorder="1" applyAlignment="1">
      <alignment horizontal="center"/>
    </xf>
    <xf numFmtId="189" fontId="2" fillId="18" borderId="8" xfId="0" applyNumberFormat="1" applyFont="1" applyFill="1" applyBorder="1" applyAlignment="1"/>
    <xf numFmtId="188" fontId="2" fillId="18" borderId="8" xfId="0" applyNumberFormat="1" applyFont="1" applyFill="1" applyBorder="1" applyAlignment="1"/>
    <xf numFmtId="188" fontId="1" fillId="18" borderId="8" xfId="0" applyNumberFormat="1" applyFont="1" applyFill="1" applyBorder="1" applyAlignment="1">
      <alignment horizontal="right"/>
    </xf>
    <xf numFmtId="0" fontId="6" fillId="18" borderId="7" xfId="0" applyFont="1" applyFill="1" applyBorder="1" applyAlignment="1"/>
    <xf numFmtId="0" fontId="6" fillId="18" borderId="8" xfId="0" applyFont="1" applyFill="1" applyBorder="1" applyAlignment="1">
      <alignment horizontal="center"/>
    </xf>
    <xf numFmtId="188" fontId="6" fillId="18" borderId="8" xfId="0" applyNumberFormat="1" applyFont="1" applyFill="1" applyBorder="1" applyAlignment="1">
      <alignment horizontal="right"/>
    </xf>
    <xf numFmtId="0" fontId="7" fillId="18" borderId="7" xfId="0" applyFont="1" applyFill="1" applyBorder="1" applyAlignment="1"/>
    <xf numFmtId="0" fontId="7" fillId="18" borderId="8" xfId="0" applyFont="1" applyFill="1" applyBorder="1" applyAlignment="1">
      <alignment horizontal="center"/>
    </xf>
    <xf numFmtId="188" fontId="7" fillId="18" borderId="8" xfId="0" applyNumberFormat="1" applyFont="1" applyFill="1" applyBorder="1" applyAlignment="1">
      <alignment horizontal="right"/>
    </xf>
    <xf numFmtId="187" fontId="1" fillId="19" borderId="5" xfId="0" applyNumberFormat="1" applyFont="1" applyFill="1" applyBorder="1" applyAlignment="1"/>
    <xf numFmtId="187" fontId="2" fillId="19" borderId="1" xfId="0" applyNumberFormat="1" applyFont="1" applyFill="1" applyBorder="1" applyAlignment="1"/>
    <xf numFmtId="0" fontId="2" fillId="19" borderId="1" xfId="0" applyFont="1" applyFill="1" applyBorder="1" applyAlignment="1"/>
    <xf numFmtId="189" fontId="2" fillId="19" borderId="1" xfId="0" applyNumberFormat="1" applyFont="1" applyFill="1" applyBorder="1" applyAlignment="1"/>
    <xf numFmtId="188" fontId="2" fillId="19" borderId="1" xfId="0" applyNumberFormat="1" applyFont="1" applyFill="1" applyBorder="1" applyAlignment="1"/>
    <xf numFmtId="188" fontId="2" fillId="19" borderId="4" xfId="0" applyNumberFormat="1" applyFont="1" applyFill="1" applyBorder="1" applyAlignment="1"/>
    <xf numFmtId="187" fontId="1" fillId="20" borderId="6" xfId="0" applyNumberFormat="1" applyFont="1" applyFill="1" applyBorder="1" applyAlignment="1"/>
    <xf numFmtId="0" fontId="2" fillId="20" borderId="7" xfId="0" applyFont="1" applyFill="1" applyBorder="1" applyAlignment="1"/>
    <xf numFmtId="187" fontId="2" fillId="20" borderId="7" xfId="0" applyNumberFormat="1" applyFont="1" applyFill="1" applyBorder="1" applyAlignment="1"/>
    <xf numFmtId="0" fontId="2" fillId="20" borderId="8" xfId="0" applyFont="1" applyFill="1" applyBorder="1" applyAlignment="1"/>
    <xf numFmtId="189" fontId="2" fillId="20" borderId="8" xfId="0" applyNumberFormat="1" applyFont="1" applyFill="1" applyBorder="1" applyAlignment="1"/>
    <xf numFmtId="188" fontId="2" fillId="20" borderId="8" xfId="0" applyNumberFormat="1" applyFont="1" applyFill="1" applyBorder="1" applyAlignment="1"/>
    <xf numFmtId="190" fontId="2" fillId="10" borderId="6" xfId="0" applyNumberFormat="1" applyFont="1" applyFill="1" applyBorder="1" applyAlignment="1"/>
    <xf numFmtId="0" fontId="1" fillId="10" borderId="7" xfId="0" applyFont="1" applyFill="1" applyBorder="1" applyAlignment="1"/>
    <xf numFmtId="187" fontId="2" fillId="10" borderId="7" xfId="0" applyNumberFormat="1" applyFont="1" applyFill="1" applyBorder="1" applyAlignment="1"/>
    <xf numFmtId="0" fontId="1" fillId="10" borderId="8" xfId="0" applyFont="1" applyFill="1" applyBorder="1" applyAlignment="1">
      <alignment horizontal="center" wrapText="1"/>
    </xf>
    <xf numFmtId="189" fontId="1" fillId="10" borderId="8" xfId="0" applyNumberFormat="1" applyFont="1" applyFill="1" applyBorder="1" applyAlignment="1">
      <alignment horizontal="right"/>
    </xf>
    <xf numFmtId="190" fontId="2" fillId="2" borderId="6" xfId="0" applyNumberFormat="1" applyFont="1" applyFill="1" applyBorder="1" applyAlignment="1"/>
    <xf numFmtId="0" fontId="1" fillId="2" borderId="7" xfId="0" applyFont="1" applyFill="1" applyBorder="1" applyAlignment="1"/>
    <xf numFmtId="0" fontId="11" fillId="2" borderId="7" xfId="0" applyFont="1" applyFill="1" applyBorder="1" applyAlignment="1"/>
    <xf numFmtId="187" fontId="1" fillId="2" borderId="8" xfId="0" applyNumberFormat="1" applyFont="1" applyFill="1" applyBorder="1" applyAlignment="1">
      <alignment horizontal="center"/>
    </xf>
    <xf numFmtId="188" fontId="1" fillId="2" borderId="8" xfId="0" applyNumberFormat="1" applyFont="1" applyFill="1" applyBorder="1" applyAlignment="1">
      <alignment horizontal="right"/>
    </xf>
    <xf numFmtId="187" fontId="6" fillId="2" borderId="8" xfId="0" applyNumberFormat="1" applyFont="1" applyFill="1" applyBorder="1" applyAlignment="1">
      <alignment horizontal="center"/>
    </xf>
    <xf numFmtId="187" fontId="7" fillId="2" borderId="8" xfId="0" applyNumberFormat="1" applyFont="1" applyFill="1" applyBorder="1" applyAlignment="1">
      <alignment horizontal="center"/>
    </xf>
    <xf numFmtId="187" fontId="7" fillId="0" borderId="8" xfId="0" applyNumberFormat="1" applyFont="1" applyBorder="1" applyAlignment="1">
      <alignment horizontal="center" wrapText="1"/>
    </xf>
    <xf numFmtId="189" fontId="2" fillId="0" borderId="8" xfId="0" applyNumberFormat="1" applyFont="1" applyBorder="1" applyAlignment="1"/>
    <xf numFmtId="188" fontId="2" fillId="0" borderId="8" xfId="0" applyNumberFormat="1" applyFont="1" applyBorder="1" applyAlignment="1"/>
    <xf numFmtId="187" fontId="6" fillId="0" borderId="8" xfId="0" applyNumberFormat="1" applyFont="1" applyBorder="1" applyAlignment="1">
      <alignment horizontal="center" wrapText="1"/>
    </xf>
    <xf numFmtId="187" fontId="7" fillId="0" borderId="8" xfId="0" applyNumberFormat="1" applyFont="1" applyBorder="1" applyAlignment="1">
      <alignment horizontal="center"/>
    </xf>
    <xf numFmtId="187" fontId="2" fillId="0" borderId="6" xfId="0" applyNumberFormat="1" applyFont="1" applyBorder="1" applyAlignment="1"/>
    <xf numFmtId="187" fontId="2" fillId="0" borderId="7" xfId="0" applyNumberFormat="1" applyFont="1" applyBorder="1" applyAlignment="1"/>
    <xf numFmtId="0" fontId="12" fillId="21" borderId="7" xfId="0" quotePrefix="1" applyFont="1" applyFill="1" applyBorder="1" applyAlignment="1"/>
    <xf numFmtId="0" fontId="2" fillId="21" borderId="7" xfId="0" applyFont="1" applyFill="1" applyBorder="1" applyAlignment="1"/>
    <xf numFmtId="0" fontId="2" fillId="21" borderId="8" xfId="0" applyFont="1" applyFill="1" applyBorder="1" applyAlignment="1"/>
    <xf numFmtId="0" fontId="2" fillId="0" borderId="8" xfId="0" applyFont="1" applyBorder="1" applyAlignment="1"/>
    <xf numFmtId="0" fontId="7" fillId="0" borderId="7" xfId="0" quotePrefix="1" applyFont="1" applyBorder="1" applyAlignment="1"/>
    <xf numFmtId="0" fontId="2" fillId="0" borderId="7" xfId="0" applyFont="1" applyBorder="1" applyAlignment="1"/>
    <xf numFmtId="0" fontId="1" fillId="0" borderId="8" xfId="0" applyFont="1" applyBorder="1" applyAlignment="1">
      <alignment horizontal="center" wrapText="1"/>
    </xf>
    <xf numFmtId="189" fontId="1" fillId="2" borderId="8" xfId="0" applyNumberFormat="1" applyFont="1" applyFill="1" applyBorder="1" applyAlignment="1">
      <alignment horizontal="right"/>
    </xf>
    <xf numFmtId="188" fontId="1" fillId="0" borderId="8" xfId="0" applyNumberFormat="1" applyFont="1" applyBorder="1" applyAlignment="1">
      <alignment horizontal="right"/>
    </xf>
    <xf numFmtId="0" fontId="7" fillId="0" borderId="7" xfId="0" applyFont="1" applyBorder="1" applyAlignment="1"/>
    <xf numFmtId="0" fontId="7" fillId="0" borderId="8" xfId="0" applyFont="1" applyBorder="1" applyAlignment="1">
      <alignment horizontal="center"/>
    </xf>
    <xf numFmtId="189" fontId="7" fillId="0" borderId="8" xfId="0" applyNumberFormat="1" applyFont="1" applyBorder="1" applyAlignment="1">
      <alignment horizontal="right"/>
    </xf>
    <xf numFmtId="189" fontId="7" fillId="22" borderId="8" xfId="0" applyNumberFormat="1" applyFont="1" applyFill="1" applyBorder="1" applyAlignment="1">
      <alignment horizontal="right"/>
    </xf>
    <xf numFmtId="188" fontId="7" fillId="0" borderId="8" xfId="0" applyNumberFormat="1" applyFont="1" applyBorder="1" applyAlignment="1">
      <alignment horizontal="right"/>
    </xf>
    <xf numFmtId="0" fontId="7" fillId="0" borderId="8" xfId="0" applyFont="1" applyBorder="1" applyAlignment="1">
      <alignment horizontal="center" wrapText="1"/>
    </xf>
    <xf numFmtId="187" fontId="2" fillId="8" borderId="6" xfId="0" applyNumberFormat="1" applyFont="1" applyFill="1" applyBorder="1" applyAlignment="1"/>
    <xf numFmtId="187" fontId="2" fillId="8" borderId="7" xfId="0" applyNumberFormat="1" applyFont="1" applyFill="1" applyBorder="1" applyAlignment="1"/>
    <xf numFmtId="0" fontId="1" fillId="0" borderId="7" xfId="0" applyFont="1" applyBorder="1" applyAlignment="1"/>
    <xf numFmtId="0" fontId="2" fillId="0" borderId="0" xfId="0" applyFont="1" applyAlignment="1"/>
    <xf numFmtId="189" fontId="7" fillId="2" borderId="8" xfId="0" applyNumberFormat="1" applyFont="1" applyFill="1" applyBorder="1" applyAlignment="1">
      <alignment horizontal="right"/>
    </xf>
    <xf numFmtId="187" fontId="1" fillId="8" borderId="6" xfId="0" applyNumberFormat="1" applyFont="1" applyFill="1" applyBorder="1" applyAlignment="1"/>
    <xf numFmtId="190" fontId="2" fillId="8" borderId="7" xfId="0" applyNumberFormat="1" applyFont="1" applyFill="1" applyBorder="1" applyAlignment="1"/>
    <xf numFmtId="189" fontId="2" fillId="8" borderId="7" xfId="0" applyNumberFormat="1" applyFont="1" applyFill="1" applyBorder="1" applyAlignment="1"/>
    <xf numFmtId="188" fontId="2" fillId="8" borderId="7" xfId="0" applyNumberFormat="1" applyFont="1" applyFill="1" applyBorder="1" applyAlignment="1"/>
    <xf numFmtId="190" fontId="2" fillId="8" borderId="6" xfId="0" applyNumberFormat="1" applyFont="1" applyFill="1" applyBorder="1" applyAlignment="1"/>
    <xf numFmtId="0" fontId="1" fillId="8" borderId="7" xfId="0" applyFont="1" applyFill="1" applyBorder="1" applyAlignment="1"/>
    <xf numFmtId="189" fontId="7" fillId="8" borderId="8" xfId="0" applyNumberFormat="1" applyFont="1" applyFill="1" applyBorder="1" applyAlignment="1">
      <alignment horizontal="right"/>
    </xf>
    <xf numFmtId="188" fontId="7" fillId="8" borderId="8" xfId="0" applyNumberFormat="1" applyFont="1" applyFill="1" applyBorder="1" applyAlignment="1">
      <alignment horizontal="right"/>
    </xf>
    <xf numFmtId="0" fontId="1" fillId="8" borderId="7" xfId="0" applyFont="1" applyFill="1" applyBorder="1" applyAlignment="1"/>
    <xf numFmtId="0" fontId="13" fillId="8" borderId="7" xfId="0" applyFont="1" applyFill="1" applyBorder="1" applyAlignment="1"/>
    <xf numFmtId="187" fontId="1" fillId="8" borderId="8" xfId="0" applyNumberFormat="1" applyFont="1" applyFill="1" applyBorder="1" applyAlignment="1">
      <alignment horizontal="center"/>
    </xf>
    <xf numFmtId="188" fontId="1" fillId="8" borderId="8" xfId="0" applyNumberFormat="1" applyFont="1" applyFill="1" applyBorder="1" applyAlignment="1">
      <alignment horizontal="right"/>
    </xf>
    <xf numFmtId="0" fontId="6" fillId="8" borderId="7" xfId="0" applyFont="1" applyFill="1" applyBorder="1" applyAlignment="1"/>
    <xf numFmtId="187" fontId="6" fillId="8" borderId="8" xfId="0" applyNumberFormat="1" applyFont="1" applyFill="1" applyBorder="1" applyAlignment="1">
      <alignment horizontal="center"/>
    </xf>
    <xf numFmtId="188" fontId="6" fillId="8" borderId="8" xfId="0" applyNumberFormat="1" applyFont="1" applyFill="1" applyBorder="1" applyAlignment="1">
      <alignment horizontal="right"/>
    </xf>
    <xf numFmtId="0" fontId="7" fillId="8" borderId="7" xfId="0" applyFont="1" applyFill="1" applyBorder="1" applyAlignment="1"/>
    <xf numFmtId="187" fontId="7" fillId="8" borderId="8" xfId="0" applyNumberFormat="1" applyFont="1" applyFill="1" applyBorder="1" applyAlignment="1">
      <alignment horizontal="center"/>
    </xf>
    <xf numFmtId="0" fontId="14" fillId="8" borderId="7" xfId="0" applyFont="1" applyFill="1" applyBorder="1" applyAlignment="1"/>
    <xf numFmtId="187" fontId="7" fillId="8" borderId="8" xfId="0" applyNumberFormat="1" applyFont="1" applyFill="1" applyBorder="1" applyAlignment="1">
      <alignment horizontal="center" wrapText="1"/>
    </xf>
    <xf numFmtId="187" fontId="6" fillId="8" borderId="8" xfId="0" applyNumberFormat="1" applyFont="1" applyFill="1" applyBorder="1" applyAlignment="1">
      <alignment horizontal="center" wrapText="1"/>
    </xf>
    <xf numFmtId="190" fontId="2" fillId="20" borderId="7" xfId="0" applyNumberFormat="1" applyFont="1" applyFill="1" applyBorder="1" applyAlignment="1"/>
    <xf numFmtId="189" fontId="2" fillId="20" borderId="7" xfId="0" applyNumberFormat="1" applyFont="1" applyFill="1" applyBorder="1" applyAlignment="1"/>
    <xf numFmtId="188" fontId="2" fillId="20" borderId="7" xfId="0" applyNumberFormat="1" applyFont="1" applyFill="1" applyBorder="1" applyAlignment="1"/>
    <xf numFmtId="190" fontId="2" fillId="10" borderId="7" xfId="0" applyNumberFormat="1" applyFont="1" applyFill="1" applyBorder="1" applyAlignment="1"/>
    <xf numFmtId="189" fontId="2" fillId="10" borderId="7" xfId="0" applyNumberFormat="1" applyFont="1" applyFill="1" applyBorder="1" applyAlignment="1"/>
    <xf numFmtId="190" fontId="1" fillId="10" borderId="7" xfId="0" applyNumberFormat="1" applyFont="1" applyFill="1" applyBorder="1" applyAlignment="1"/>
    <xf numFmtId="187" fontId="2" fillId="0" borderId="8" xfId="0" applyNumberFormat="1" applyFont="1" applyBorder="1" applyAlignment="1"/>
    <xf numFmtId="0" fontId="1" fillId="2" borderId="7" xfId="0" applyFont="1" applyFill="1" applyBorder="1" applyAlignment="1"/>
    <xf numFmtId="187" fontId="1" fillId="10" borderId="8" xfId="0" applyNumberFormat="1" applyFont="1" applyFill="1" applyBorder="1" applyAlignment="1">
      <alignment horizontal="center"/>
    </xf>
    <xf numFmtId="187" fontId="6" fillId="0" borderId="8" xfId="0" applyNumberFormat="1" applyFont="1" applyBorder="1" applyAlignment="1">
      <alignment horizontal="center"/>
    </xf>
    <xf numFmtId="189" fontId="6" fillId="2" borderId="8" xfId="0" applyNumberFormat="1" applyFont="1" applyFill="1" applyBorder="1" applyAlignment="1">
      <alignment horizontal="right"/>
    </xf>
    <xf numFmtId="189" fontId="6" fillId="22" borderId="8" xfId="0" applyNumberFormat="1" applyFont="1" applyFill="1" applyBorder="1" applyAlignment="1">
      <alignment horizontal="right"/>
    </xf>
    <xf numFmtId="190" fontId="2" fillId="2" borderId="5" xfId="0" applyNumberFormat="1" applyFont="1" applyFill="1" applyBorder="1" applyAlignment="1"/>
    <xf numFmtId="0" fontId="6" fillId="2" borderId="1" xfId="0" applyFont="1" applyFill="1" applyBorder="1" applyAlignment="1"/>
    <xf numFmtId="187" fontId="6" fillId="0" borderId="4" xfId="0" applyNumberFormat="1" applyFont="1" applyBorder="1" applyAlignment="1">
      <alignment horizontal="center"/>
    </xf>
    <xf numFmtId="189" fontId="6" fillId="2" borderId="4" xfId="0" applyNumberFormat="1" applyFont="1" applyFill="1" applyBorder="1" applyAlignment="1">
      <alignment horizontal="right"/>
    </xf>
    <xf numFmtId="189" fontId="6" fillId="22" borderId="4" xfId="0" applyNumberFormat="1" applyFont="1" applyFill="1" applyBorder="1" applyAlignment="1">
      <alignment horizontal="right"/>
    </xf>
    <xf numFmtId="188" fontId="6" fillId="2" borderId="4" xfId="0" applyNumberFormat="1" applyFont="1" applyFill="1" applyBorder="1" applyAlignment="1">
      <alignment horizontal="right"/>
    </xf>
    <xf numFmtId="187" fontId="1" fillId="7" borderId="5" xfId="0" applyNumberFormat="1" applyFont="1" applyFill="1" applyBorder="1" applyAlignment="1"/>
    <xf numFmtId="187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189" fontId="2" fillId="7" borderId="1" xfId="0" applyNumberFormat="1" applyFont="1" applyFill="1" applyBorder="1" applyAlignment="1"/>
    <xf numFmtId="188" fontId="2" fillId="7" borderId="1" xfId="0" applyNumberFormat="1" applyFont="1" applyFill="1" applyBorder="1" applyAlignment="1"/>
    <xf numFmtId="188" fontId="2" fillId="7" borderId="4" xfId="0" applyNumberFormat="1" applyFont="1" applyFill="1" applyBorder="1" applyAlignment="1"/>
    <xf numFmtId="187" fontId="1" fillId="23" borderId="6" xfId="0" applyNumberFormat="1" applyFont="1" applyFill="1" applyBorder="1" applyAlignment="1"/>
    <xf numFmtId="187" fontId="2" fillId="23" borderId="7" xfId="0" applyNumberFormat="1" applyFont="1" applyFill="1" applyBorder="1" applyAlignment="1"/>
    <xf numFmtId="0" fontId="2" fillId="23" borderId="7" xfId="0" applyFont="1" applyFill="1" applyBorder="1" applyAlignment="1"/>
    <xf numFmtId="0" fontId="2" fillId="23" borderId="8" xfId="0" applyFont="1" applyFill="1" applyBorder="1" applyAlignment="1"/>
    <xf numFmtId="189" fontId="2" fillId="23" borderId="8" xfId="0" applyNumberFormat="1" applyFont="1" applyFill="1" applyBorder="1" applyAlignment="1"/>
    <xf numFmtId="188" fontId="2" fillId="23" borderId="8" xfId="0" applyNumberFormat="1" applyFont="1" applyFill="1" applyBorder="1" applyAlignment="1"/>
    <xf numFmtId="187" fontId="2" fillId="21" borderId="6" xfId="0" applyNumberFormat="1" applyFont="1" applyFill="1" applyBorder="1" applyAlignment="1"/>
    <xf numFmtId="0" fontId="1" fillId="21" borderId="7" xfId="0" applyFont="1" applyFill="1" applyBorder="1" applyAlignment="1"/>
    <xf numFmtId="187" fontId="2" fillId="21" borderId="7" xfId="0" applyNumberFormat="1" applyFont="1" applyFill="1" applyBorder="1" applyAlignment="1"/>
    <xf numFmtId="0" fontId="1" fillId="21" borderId="8" xfId="0" applyFont="1" applyFill="1" applyBorder="1" applyAlignment="1">
      <alignment horizontal="center" wrapText="1"/>
    </xf>
    <xf numFmtId="189" fontId="1" fillId="21" borderId="8" xfId="0" applyNumberFormat="1" applyFont="1" applyFill="1" applyBorder="1" applyAlignment="1">
      <alignment horizontal="right"/>
    </xf>
    <xf numFmtId="188" fontId="1" fillId="21" borderId="8" xfId="0" applyNumberFormat="1" applyFont="1" applyFill="1" applyBorder="1" applyAlignment="1">
      <alignment horizontal="right"/>
    </xf>
    <xf numFmtId="188" fontId="2" fillId="21" borderId="8" xfId="0" applyNumberFormat="1" applyFont="1" applyFill="1" applyBorder="1" applyAlignment="1"/>
    <xf numFmtId="187" fontId="2" fillId="2" borderId="6" xfId="0" applyNumberFormat="1" applyFont="1" applyFill="1" applyBorder="1" applyAlignment="1"/>
    <xf numFmtId="187" fontId="2" fillId="2" borderId="7" xfId="0" applyNumberFormat="1" applyFont="1" applyFill="1" applyBorder="1" applyAlignment="1"/>
    <xf numFmtId="187" fontId="7" fillId="2" borderId="7" xfId="0" applyNumberFormat="1" applyFont="1" applyFill="1" applyBorder="1" applyAlignment="1"/>
    <xf numFmtId="0" fontId="7" fillId="2" borderId="8" xfId="0" applyFont="1" applyFill="1" applyBorder="1" applyAlignment="1">
      <alignment horizontal="center" wrapText="1"/>
    </xf>
    <xf numFmtId="187" fontId="6" fillId="2" borderId="7" xfId="0" applyNumberFormat="1" applyFont="1" applyFill="1" applyBorder="1" applyAlignment="1"/>
    <xf numFmtId="0" fontId="6" fillId="2" borderId="8" xfId="0" applyFont="1" applyFill="1" applyBorder="1" applyAlignment="1">
      <alignment horizontal="center" wrapText="1"/>
    </xf>
    <xf numFmtId="187" fontId="2" fillId="24" borderId="6" xfId="0" applyNumberFormat="1" applyFont="1" applyFill="1" applyBorder="1" applyAlignment="1"/>
    <xf numFmtId="187" fontId="2" fillId="24" borderId="7" xfId="0" applyNumberFormat="1" applyFont="1" applyFill="1" applyBorder="1" applyAlignment="1"/>
    <xf numFmtId="0" fontId="1" fillId="24" borderId="7" xfId="0" applyFont="1" applyFill="1" applyBorder="1" applyAlignment="1"/>
    <xf numFmtId="0" fontId="2" fillId="24" borderId="7" xfId="0" applyFont="1" applyFill="1" applyBorder="1" applyAlignment="1"/>
    <xf numFmtId="0" fontId="2" fillId="24" borderId="8" xfId="0" applyFont="1" applyFill="1" applyBorder="1" applyAlignment="1"/>
    <xf numFmtId="0" fontId="1" fillId="24" borderId="8" xfId="0" applyFont="1" applyFill="1" applyBorder="1" applyAlignment="1">
      <alignment horizontal="center" wrapText="1"/>
    </xf>
    <xf numFmtId="189" fontId="1" fillId="24" borderId="8" xfId="0" applyNumberFormat="1" applyFont="1" applyFill="1" applyBorder="1" applyAlignment="1">
      <alignment horizontal="right"/>
    </xf>
    <xf numFmtId="188" fontId="1" fillId="24" borderId="8" xfId="0" applyNumberFormat="1" applyFont="1" applyFill="1" applyBorder="1" applyAlignment="1">
      <alignment horizontal="right"/>
    </xf>
    <xf numFmtId="188" fontId="2" fillId="24" borderId="8" xfId="0" applyNumberFormat="1" applyFont="1" applyFill="1" applyBorder="1" applyAlignment="1"/>
    <xf numFmtId="0" fontId="15" fillId="2" borderId="7" xfId="0" quotePrefix="1" applyFont="1" applyFill="1" applyBorder="1" applyAlignment="1"/>
    <xf numFmtId="187" fontId="1" fillId="0" borderId="8" xfId="0" applyNumberFormat="1" applyFont="1" applyBorder="1" applyAlignment="1">
      <alignment horizontal="center" wrapText="1"/>
    </xf>
    <xf numFmtId="188" fontId="1" fillId="22" borderId="8" xfId="0" applyNumberFormat="1" applyFont="1" applyFill="1" applyBorder="1" applyAlignment="1">
      <alignment horizontal="right"/>
    </xf>
    <xf numFmtId="0" fontId="1" fillId="24" borderId="8" xfId="0" applyFont="1" applyFill="1" applyBorder="1" applyAlignment="1">
      <alignment horizontal="center"/>
    </xf>
    <xf numFmtId="188" fontId="7" fillId="22" borderId="8" xfId="0" applyNumberFormat="1" applyFont="1" applyFill="1" applyBorder="1" applyAlignment="1">
      <alignment horizontal="right"/>
    </xf>
    <xf numFmtId="0" fontId="7" fillId="2" borderId="7" xfId="0" applyFont="1" applyFill="1" applyBorder="1" applyAlignment="1"/>
    <xf numFmtId="188" fontId="7" fillId="22" borderId="8" xfId="0" applyNumberFormat="1" applyFont="1" applyFill="1" applyBorder="1" applyAlignment="1">
      <alignment horizontal="right"/>
    </xf>
    <xf numFmtId="0" fontId="7" fillId="0" borderId="8" xfId="0" applyFont="1" applyBorder="1" applyAlignment="1"/>
    <xf numFmtId="189" fontId="7" fillId="22" borderId="8" xfId="0" applyNumberFormat="1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187" fontId="1" fillId="2" borderId="7" xfId="0" applyNumberFormat="1" applyFont="1" applyFill="1" applyBorder="1" applyAlignment="1"/>
    <xf numFmtId="0" fontId="7" fillId="2" borderId="9" xfId="0" applyFont="1" applyFill="1" applyBorder="1" applyAlignment="1"/>
    <xf numFmtId="0" fontId="7" fillId="2" borderId="7" xfId="0" applyFont="1" applyFill="1" applyBorder="1" applyAlignment="1"/>
    <xf numFmtId="187" fontId="7" fillId="0" borderId="7" xfId="0" quotePrefix="1" applyNumberFormat="1" applyFont="1" applyBorder="1" applyAlignment="1"/>
    <xf numFmtId="0" fontId="16" fillId="24" borderId="7" xfId="0" applyFont="1" applyFill="1" applyBorder="1" applyAlignment="1"/>
    <xf numFmtId="0" fontId="16" fillId="24" borderId="8" xfId="0" applyFont="1" applyFill="1" applyBorder="1" applyAlignment="1">
      <alignment horizontal="center" wrapText="1"/>
    </xf>
    <xf numFmtId="189" fontId="16" fillId="24" borderId="8" xfId="0" applyNumberFormat="1" applyFont="1" applyFill="1" applyBorder="1" applyAlignment="1">
      <alignment horizontal="right"/>
    </xf>
    <xf numFmtId="188" fontId="16" fillId="24" borderId="8" xfId="0" applyNumberFormat="1" applyFont="1" applyFill="1" applyBorder="1" applyAlignment="1">
      <alignment horizontal="right"/>
    </xf>
    <xf numFmtId="0" fontId="16" fillId="2" borderId="7" xfId="0" applyFont="1" applyFill="1" applyBorder="1" applyAlignment="1"/>
    <xf numFmtId="0" fontId="17" fillId="2" borderId="7" xfId="0" applyFont="1" applyFill="1" applyBorder="1" applyAlignment="1"/>
    <xf numFmtId="187" fontId="16" fillId="0" borderId="8" xfId="0" applyNumberFormat="1" applyFont="1" applyBorder="1" applyAlignment="1">
      <alignment horizontal="center" wrapText="1"/>
    </xf>
    <xf numFmtId="188" fontId="16" fillId="2" borderId="8" xfId="0" applyNumberFormat="1" applyFont="1" applyFill="1" applyBorder="1" applyAlignment="1">
      <alignment horizontal="right"/>
    </xf>
    <xf numFmtId="188" fontId="6" fillId="22" borderId="8" xfId="0" applyNumberFormat="1" applyFont="1" applyFill="1" applyBorder="1" applyAlignment="1">
      <alignment horizontal="right"/>
    </xf>
    <xf numFmtId="187" fontId="16" fillId="2" borderId="7" xfId="0" applyNumberFormat="1" applyFont="1" applyFill="1" applyBorder="1" applyAlignment="1"/>
    <xf numFmtId="0" fontId="18" fillId="21" borderId="7" xfId="0" quotePrefix="1" applyFont="1" applyFill="1" applyBorder="1" applyAlignment="1"/>
    <xf numFmtId="0" fontId="6" fillId="0" borderId="7" xfId="0" applyFont="1" applyBorder="1" applyAlignment="1"/>
    <xf numFmtId="0" fontId="6" fillId="0" borderId="8" xfId="0" applyFont="1" applyBorder="1" applyAlignment="1">
      <alignment horizontal="center"/>
    </xf>
    <xf numFmtId="187" fontId="6" fillId="0" borderId="7" xfId="0" quotePrefix="1" applyNumberFormat="1" applyFont="1" applyBorder="1" applyAlignment="1"/>
    <xf numFmtId="0" fontId="6" fillId="0" borderId="7" xfId="0" quotePrefix="1" applyFont="1" applyBorder="1" applyAlignment="1"/>
    <xf numFmtId="0" fontId="19" fillId="2" borderId="7" xfId="0" quotePrefix="1" applyFont="1" applyFill="1" applyBorder="1" applyAlignment="1"/>
    <xf numFmtId="187" fontId="16" fillId="23" borderId="6" xfId="0" applyNumberFormat="1" applyFont="1" applyFill="1" applyBorder="1" applyAlignment="1"/>
    <xf numFmtId="0" fontId="16" fillId="21" borderId="7" xfId="0" applyFont="1" applyFill="1" applyBorder="1" applyAlignment="1"/>
    <xf numFmtId="0" fontId="16" fillId="21" borderId="8" xfId="0" applyFont="1" applyFill="1" applyBorder="1" applyAlignment="1">
      <alignment horizontal="center" wrapText="1"/>
    </xf>
    <xf numFmtId="189" fontId="2" fillId="21" borderId="8" xfId="0" applyNumberFormat="1" applyFont="1" applyFill="1" applyBorder="1" applyAlignment="1"/>
    <xf numFmtId="188" fontId="16" fillId="21" borderId="8" xfId="0" applyNumberFormat="1" applyFont="1" applyFill="1" applyBorder="1" applyAlignment="1">
      <alignment horizontal="right"/>
    </xf>
    <xf numFmtId="187" fontId="16" fillId="2" borderId="8" xfId="0" applyNumberFormat="1" applyFont="1" applyFill="1" applyBorder="1" applyAlignment="1">
      <alignment horizontal="center"/>
    </xf>
    <xf numFmtId="0" fontId="20" fillId="2" borderId="7" xfId="0" applyFont="1" applyFill="1" applyBorder="1" applyAlignment="1"/>
    <xf numFmtId="0" fontId="6" fillId="2" borderId="7" xfId="0" applyFont="1" applyFill="1" applyBorder="1" applyAlignment="1"/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6" fillId="0" borderId="1" xfId="0" quotePrefix="1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0" fontId="6" fillId="2" borderId="4" xfId="0" applyFont="1" applyFill="1" applyBorder="1" applyAlignment="1">
      <alignment horizontal="center"/>
    </xf>
    <xf numFmtId="188" fontId="6" fillId="0" borderId="4" xfId="0" applyNumberFormat="1" applyFont="1" applyBorder="1" applyAlignment="1">
      <alignment horizontal="right"/>
    </xf>
    <xf numFmtId="188" fontId="2" fillId="0" borderId="4" xfId="0" applyNumberFormat="1" applyFont="1" applyBorder="1" applyAlignment="1"/>
    <xf numFmtId="187" fontId="21" fillId="25" borderId="5" xfId="0" applyNumberFormat="1" applyFont="1" applyFill="1" applyBorder="1" applyAlignment="1"/>
    <xf numFmtId="187" fontId="2" fillId="25" borderId="1" xfId="0" applyNumberFormat="1" applyFont="1" applyFill="1" applyBorder="1" applyAlignment="1"/>
    <xf numFmtId="0" fontId="2" fillId="25" borderId="1" xfId="0" applyFont="1" applyFill="1" applyBorder="1" applyAlignment="1"/>
    <xf numFmtId="189" fontId="2" fillId="25" borderId="1" xfId="0" applyNumberFormat="1" applyFont="1" applyFill="1" applyBorder="1" applyAlignment="1"/>
    <xf numFmtId="188" fontId="2" fillId="25" borderId="1" xfId="0" applyNumberFormat="1" applyFont="1" applyFill="1" applyBorder="1" applyAlignment="1"/>
    <xf numFmtId="188" fontId="2" fillId="25" borderId="4" xfId="0" applyNumberFormat="1" applyFont="1" applyFill="1" applyBorder="1" applyAlignment="1"/>
    <xf numFmtId="187" fontId="1" fillId="26" borderId="6" xfId="0" applyNumberFormat="1" applyFont="1" applyFill="1" applyBorder="1" applyAlignment="1"/>
    <xf numFmtId="0" fontId="2" fillId="26" borderId="7" xfId="0" applyFont="1" applyFill="1" applyBorder="1" applyAlignment="1"/>
    <xf numFmtId="187" fontId="2" fillId="26" borderId="7" xfId="0" applyNumberFormat="1" applyFont="1" applyFill="1" applyBorder="1" applyAlignment="1"/>
    <xf numFmtId="189" fontId="2" fillId="26" borderId="7" xfId="0" applyNumberFormat="1" applyFont="1" applyFill="1" applyBorder="1" applyAlignment="1"/>
    <xf numFmtId="189" fontId="2" fillId="26" borderId="8" xfId="0" applyNumberFormat="1" applyFont="1" applyFill="1" applyBorder="1" applyAlignment="1"/>
    <xf numFmtId="188" fontId="2" fillId="26" borderId="8" xfId="0" applyNumberFormat="1" applyFont="1" applyFill="1" applyBorder="1" applyAlignment="1"/>
    <xf numFmtId="190" fontId="2" fillId="27" borderId="6" xfId="0" applyNumberFormat="1" applyFont="1" applyFill="1" applyBorder="1" applyAlignment="1"/>
    <xf numFmtId="0" fontId="1" fillId="27" borderId="7" xfId="0" applyFont="1" applyFill="1" applyBorder="1" applyAlignment="1"/>
    <xf numFmtId="0" fontId="2" fillId="27" borderId="7" xfId="0" applyFont="1" applyFill="1" applyBorder="1" applyAlignment="1"/>
    <xf numFmtId="187" fontId="2" fillId="27" borderId="7" xfId="0" applyNumberFormat="1" applyFont="1" applyFill="1" applyBorder="1" applyAlignment="1"/>
    <xf numFmtId="0" fontId="2" fillId="27" borderId="8" xfId="0" applyFont="1" applyFill="1" applyBorder="1" applyAlignment="1"/>
    <xf numFmtId="0" fontId="1" fillId="27" borderId="8" xfId="0" applyFont="1" applyFill="1" applyBorder="1" applyAlignment="1">
      <alignment horizontal="center" wrapText="1"/>
    </xf>
    <xf numFmtId="189" fontId="1" fillId="27" borderId="8" xfId="0" applyNumberFormat="1" applyFont="1" applyFill="1" applyBorder="1" applyAlignment="1">
      <alignment horizontal="right"/>
    </xf>
    <xf numFmtId="188" fontId="1" fillId="27" borderId="8" xfId="0" applyNumberFormat="1" applyFont="1" applyFill="1" applyBorder="1" applyAlignment="1">
      <alignment horizontal="right"/>
    </xf>
    <xf numFmtId="188" fontId="2" fillId="27" borderId="8" xfId="0" applyNumberFormat="1" applyFont="1" applyFill="1" applyBorder="1" applyAlignment="1"/>
    <xf numFmtId="187" fontId="2" fillId="8" borderId="5" xfId="0" applyNumberFormat="1" applyFont="1" applyFill="1" applyBorder="1" applyAlignment="1"/>
    <xf numFmtId="187" fontId="2" fillId="8" borderId="1" xfId="0" applyNumberFormat="1" applyFont="1" applyFill="1" applyBorder="1" applyAlignment="1"/>
    <xf numFmtId="187" fontId="1" fillId="28" borderId="5" xfId="0" applyNumberFormat="1" applyFont="1" applyFill="1" applyBorder="1" applyAlignment="1"/>
    <xf numFmtId="187" fontId="2" fillId="28" borderId="1" xfId="0" applyNumberFormat="1" applyFont="1" applyFill="1" applyBorder="1" applyAlignment="1"/>
    <xf numFmtId="0" fontId="2" fillId="28" borderId="1" xfId="0" applyFont="1" applyFill="1" applyBorder="1" applyAlignment="1"/>
    <xf numFmtId="189" fontId="2" fillId="28" borderId="1" xfId="0" applyNumberFormat="1" applyFont="1" applyFill="1" applyBorder="1" applyAlignment="1"/>
    <xf numFmtId="188" fontId="2" fillId="28" borderId="1" xfId="0" applyNumberFormat="1" applyFont="1" applyFill="1" applyBorder="1" applyAlignment="1"/>
    <xf numFmtId="188" fontId="2" fillId="28" borderId="4" xfId="0" applyNumberFormat="1" applyFont="1" applyFill="1" applyBorder="1" applyAlignment="1"/>
    <xf numFmtId="187" fontId="1" fillId="29" borderId="6" xfId="0" applyNumberFormat="1" applyFont="1" applyFill="1" applyBorder="1" applyAlignment="1"/>
    <xf numFmtId="187" fontId="2" fillId="29" borderId="7" xfId="0" applyNumberFormat="1" applyFont="1" applyFill="1" applyBorder="1" applyAlignment="1"/>
    <xf numFmtId="0" fontId="2" fillId="29" borderId="7" xfId="0" applyFont="1" applyFill="1" applyBorder="1" applyAlignment="1"/>
    <xf numFmtId="0" fontId="2" fillId="29" borderId="8" xfId="0" applyFont="1" applyFill="1" applyBorder="1" applyAlignment="1"/>
    <xf numFmtId="189" fontId="2" fillId="29" borderId="8" xfId="0" applyNumberFormat="1" applyFont="1" applyFill="1" applyBorder="1" applyAlignment="1"/>
    <xf numFmtId="188" fontId="2" fillId="29" borderId="8" xfId="0" applyNumberFormat="1" applyFont="1" applyFill="1" applyBorder="1" applyAlignment="1"/>
    <xf numFmtId="187" fontId="2" fillId="30" borderId="6" xfId="0" applyNumberFormat="1" applyFont="1" applyFill="1" applyBorder="1" applyAlignment="1"/>
    <xf numFmtId="0" fontId="1" fillId="30" borderId="7" xfId="0" applyFont="1" applyFill="1" applyBorder="1" applyAlignment="1"/>
    <xf numFmtId="0" fontId="2" fillId="30" borderId="7" xfId="0" applyFont="1" applyFill="1" applyBorder="1" applyAlignment="1"/>
    <xf numFmtId="0" fontId="2" fillId="30" borderId="8" xfId="0" applyFont="1" applyFill="1" applyBorder="1" applyAlignment="1"/>
    <xf numFmtId="0" fontId="1" fillId="30" borderId="8" xfId="0" applyFont="1" applyFill="1" applyBorder="1" applyAlignment="1">
      <alignment horizontal="center" wrapText="1"/>
    </xf>
    <xf numFmtId="189" fontId="1" fillId="30" borderId="8" xfId="0" applyNumberFormat="1" applyFont="1" applyFill="1" applyBorder="1" applyAlignment="1">
      <alignment horizontal="right"/>
    </xf>
    <xf numFmtId="188" fontId="1" fillId="30" borderId="8" xfId="0" applyNumberFormat="1" applyFont="1" applyFill="1" applyBorder="1" applyAlignment="1">
      <alignment horizontal="right"/>
    </xf>
    <xf numFmtId="188" fontId="2" fillId="30" borderId="8" xfId="0" applyNumberFormat="1" applyFont="1" applyFill="1" applyBorder="1" applyAlignment="1"/>
    <xf numFmtId="190" fontId="2" fillId="30" borderId="6" xfId="0" applyNumberFormat="1" applyFont="1" applyFill="1" applyBorder="1" applyAlignment="1"/>
    <xf numFmtId="190" fontId="2" fillId="30" borderId="7" xfId="0" applyNumberFormat="1" applyFont="1" applyFill="1" applyBorder="1" applyAlignment="1"/>
    <xf numFmtId="187" fontId="2" fillId="30" borderId="7" xfId="0" applyNumberFormat="1" applyFont="1" applyFill="1" applyBorder="1" applyAlignment="1"/>
    <xf numFmtId="189" fontId="1" fillId="30" borderId="10" xfId="0" applyNumberFormat="1" applyFont="1" applyFill="1" applyBorder="1" applyAlignment="1">
      <alignment horizontal="right"/>
    </xf>
    <xf numFmtId="189" fontId="1" fillId="30" borderId="11" xfId="0" applyNumberFormat="1" applyFont="1" applyFill="1" applyBorder="1" applyAlignment="1">
      <alignment horizontal="right"/>
    </xf>
    <xf numFmtId="188" fontId="1" fillId="30" borderId="11" xfId="0" applyNumberFormat="1" applyFont="1" applyFill="1" applyBorder="1" applyAlignment="1">
      <alignment horizontal="right"/>
    </xf>
    <xf numFmtId="187" fontId="2" fillId="24" borderId="12" xfId="0" applyNumberFormat="1" applyFont="1" applyFill="1" applyBorder="1" applyAlignment="1"/>
    <xf numFmtId="0" fontId="2" fillId="24" borderId="9" xfId="0" applyFont="1" applyFill="1" applyBorder="1" applyAlignment="1"/>
    <xf numFmtId="187" fontId="2" fillId="24" borderId="9" xfId="0" applyNumberFormat="1" applyFont="1" applyFill="1" applyBorder="1" applyAlignment="1"/>
    <xf numFmtId="187" fontId="22" fillId="24" borderId="9" xfId="0" applyNumberFormat="1" applyFont="1" applyFill="1" applyBorder="1" applyAlignment="1"/>
    <xf numFmtId="0" fontId="2" fillId="24" borderId="11" xfId="0" applyFont="1" applyFill="1" applyBorder="1" applyAlignment="1"/>
    <xf numFmtId="0" fontId="1" fillId="24" borderId="11" xfId="0" applyFont="1" applyFill="1" applyBorder="1" applyAlignment="1">
      <alignment horizontal="center" wrapText="1"/>
    </xf>
    <xf numFmtId="189" fontId="1" fillId="24" borderId="11" xfId="0" applyNumberFormat="1" applyFont="1" applyFill="1" applyBorder="1" applyAlignment="1">
      <alignment horizontal="right"/>
    </xf>
    <xf numFmtId="188" fontId="1" fillId="24" borderId="11" xfId="0" applyNumberFormat="1" applyFont="1" applyFill="1" applyBorder="1" applyAlignment="1">
      <alignment horizontal="right"/>
    </xf>
    <xf numFmtId="188" fontId="2" fillId="24" borderId="11" xfId="0" applyNumberFormat="1" applyFont="1" applyFill="1" applyBorder="1" applyAlignment="1"/>
    <xf numFmtId="187" fontId="2" fillId="2" borderId="8" xfId="0" applyNumberFormat="1" applyFont="1" applyFill="1" applyBorder="1" applyAlignment="1"/>
    <xf numFmtId="187" fontId="7" fillId="2" borderId="8" xfId="0" applyNumberFormat="1" applyFont="1" applyFill="1" applyBorder="1" applyAlignment="1">
      <alignment horizontal="center" wrapText="1"/>
    </xf>
    <xf numFmtId="187" fontId="23" fillId="2" borderId="7" xfId="0" applyNumberFormat="1" applyFont="1" applyFill="1" applyBorder="1" applyAlignment="1"/>
    <xf numFmtId="0" fontId="24" fillId="24" borderId="7" xfId="0" applyFont="1" applyFill="1" applyBorder="1" applyAlignment="1"/>
    <xf numFmtId="189" fontId="2" fillId="30" borderId="8" xfId="0" applyNumberFormat="1" applyFont="1" applyFill="1" applyBorder="1" applyAlignment="1"/>
    <xf numFmtId="191" fontId="7" fillId="2" borderId="8" xfId="0" applyNumberFormat="1" applyFont="1" applyFill="1" applyBorder="1" applyAlignment="1">
      <alignment horizontal="right"/>
    </xf>
    <xf numFmtId="187" fontId="23" fillId="2" borderId="1" xfId="0" applyNumberFormat="1" applyFont="1" applyFill="1" applyBorder="1" applyAlignment="1"/>
    <xf numFmtId="187" fontId="16" fillId="31" borderId="5" xfId="0" applyNumberFormat="1" applyFont="1" applyFill="1" applyBorder="1" applyAlignment="1"/>
    <xf numFmtId="187" fontId="2" fillId="31" borderId="1" xfId="0" applyNumberFormat="1" applyFont="1" applyFill="1" applyBorder="1" applyAlignment="1"/>
    <xf numFmtId="0" fontId="2" fillId="31" borderId="1" xfId="0" applyFont="1" applyFill="1" applyBorder="1" applyAlignment="1"/>
    <xf numFmtId="189" fontId="2" fillId="31" borderId="1" xfId="0" applyNumberFormat="1" applyFont="1" applyFill="1" applyBorder="1" applyAlignment="1"/>
    <xf numFmtId="188" fontId="2" fillId="31" borderId="1" xfId="0" applyNumberFormat="1" applyFont="1" applyFill="1" applyBorder="1" applyAlignment="1"/>
    <xf numFmtId="188" fontId="2" fillId="31" borderId="4" xfId="0" applyNumberFormat="1" applyFont="1" applyFill="1" applyBorder="1" applyAlignment="1"/>
    <xf numFmtId="187" fontId="16" fillId="32" borderId="6" xfId="0" applyNumberFormat="1" applyFont="1" applyFill="1" applyBorder="1" applyAlignment="1"/>
    <xf numFmtId="187" fontId="2" fillId="32" borderId="7" xfId="0" applyNumberFormat="1" applyFont="1" applyFill="1" applyBorder="1" applyAlignment="1"/>
    <xf numFmtId="0" fontId="2" fillId="32" borderId="7" xfId="0" applyFont="1" applyFill="1" applyBorder="1" applyAlignment="1"/>
    <xf numFmtId="0" fontId="2" fillId="32" borderId="8" xfId="0" applyFont="1" applyFill="1" applyBorder="1" applyAlignment="1"/>
    <xf numFmtId="189" fontId="2" fillId="32" borderId="8" xfId="0" applyNumberFormat="1" applyFont="1" applyFill="1" applyBorder="1" applyAlignment="1"/>
    <xf numFmtId="188" fontId="2" fillId="32" borderId="8" xfId="0" applyNumberFormat="1" applyFont="1" applyFill="1" applyBorder="1" applyAlignment="1"/>
    <xf numFmtId="187" fontId="2" fillId="33" borderId="6" xfId="0" applyNumberFormat="1" applyFont="1" applyFill="1" applyBorder="1" applyAlignment="1"/>
    <xf numFmtId="0" fontId="16" fillId="33" borderId="7" xfId="0" applyFont="1" applyFill="1" applyBorder="1" applyAlignment="1"/>
    <xf numFmtId="187" fontId="2" fillId="33" borderId="7" xfId="0" applyNumberFormat="1" applyFont="1" applyFill="1" applyBorder="1" applyAlignment="1"/>
    <xf numFmtId="0" fontId="2" fillId="33" borderId="7" xfId="0" applyFont="1" applyFill="1" applyBorder="1" applyAlignment="1"/>
    <xf numFmtId="0" fontId="2" fillId="33" borderId="8" xfId="0" applyFont="1" applyFill="1" applyBorder="1" applyAlignment="1"/>
    <xf numFmtId="0" fontId="16" fillId="33" borderId="8" xfId="0" applyFont="1" applyFill="1" applyBorder="1" applyAlignment="1">
      <alignment horizontal="center" wrapText="1"/>
    </xf>
    <xf numFmtId="189" fontId="16" fillId="33" borderId="8" xfId="0" applyNumberFormat="1" applyFont="1" applyFill="1" applyBorder="1" applyAlignment="1">
      <alignment horizontal="right"/>
    </xf>
    <xf numFmtId="188" fontId="16" fillId="33" borderId="8" xfId="0" applyNumberFormat="1" applyFont="1" applyFill="1" applyBorder="1" applyAlignment="1">
      <alignment horizontal="right"/>
    </xf>
    <xf numFmtId="188" fontId="2" fillId="33" borderId="8" xfId="0" applyNumberFormat="1" applyFont="1" applyFill="1" applyBorder="1" applyAlignment="1"/>
    <xf numFmtId="187" fontId="2" fillId="2" borderId="5" xfId="0" applyNumberFormat="1" applyFont="1" applyFill="1" applyBorder="1" applyAlignment="1"/>
    <xf numFmtId="0" fontId="6" fillId="0" borderId="1" xfId="0" applyFont="1" applyBorder="1" applyAlignment="1"/>
    <xf numFmtId="0" fontId="6" fillId="2" borderId="4" xfId="0" applyFont="1" applyFill="1" applyBorder="1" applyAlignment="1">
      <alignment horizontal="center" wrapText="1"/>
    </xf>
    <xf numFmtId="0" fontId="23" fillId="0" borderId="0" xfId="0" applyFont="1" applyAlignment="1"/>
    <xf numFmtId="0" fontId="1" fillId="9" borderId="5" xfId="0" applyFont="1" applyFill="1" applyBorder="1" applyAlignment="1"/>
    <xf numFmtId="0" fontId="3" fillId="0" borderId="1" xfId="0" applyFont="1" applyBorder="1"/>
    <xf numFmtId="0" fontId="3" fillId="0" borderId="4" xfId="0" applyFont="1" applyBorder="1"/>
    <xf numFmtId="0" fontId="4" fillId="0" borderId="1" xfId="0" applyFont="1" applyBorder="1"/>
    <xf numFmtId="0" fontId="1" fillId="15" borderId="5" xfId="0" applyFont="1" applyFill="1" applyBorder="1" applyAlignment="1"/>
    <xf numFmtId="0" fontId="1" fillId="16" borderId="7" xfId="0" applyFont="1" applyFill="1" applyBorder="1" applyAlignment="1"/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1" fillId="4" borderId="1" xfId="0" applyFont="1" applyFill="1" applyBorder="1" applyAlignment="1">
      <alignment horizontal="center"/>
    </xf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17" fillId="21" borderId="7" xfId="0" quotePrefix="1" applyFont="1" applyFill="1" applyBorder="1" applyAlignment="1"/>
    <xf numFmtId="0" fontId="5" fillId="21" borderId="7" xfId="0" quotePrefix="1" applyFont="1" applyFill="1" applyBorder="1" applyAlignment="1"/>
    <xf numFmtId="0" fontId="5" fillId="24" borderId="7" xfId="0" applyFont="1" applyFill="1" applyBorder="1" applyAlignment="1"/>
    <xf numFmtId="0" fontId="5" fillId="2" borderId="7" xfId="0" applyFont="1" applyFill="1" applyBorder="1" applyAlignment="1"/>
    <xf numFmtId="187" fontId="5" fillId="24" borderId="9" xfId="0" applyNumberFormat="1" applyFont="1" applyFill="1" applyBorder="1" applyAlignment="1"/>
    <xf numFmtId="0" fontId="17" fillId="2" borderId="7" xfId="0" quotePrefix="1" applyFont="1" applyFill="1" applyBorder="1" applyAlignment="1"/>
    <xf numFmtId="0" fontId="5" fillId="2" borderId="7" xfId="0" quotePrefix="1" applyFont="1" applyFill="1" applyBorder="1" applyAlignment="1"/>
    <xf numFmtId="0" fontId="8" fillId="8" borderId="7" xfId="0" applyFont="1" applyFill="1" applyBorder="1" applyAlignment="1"/>
    <xf numFmtId="0" fontId="5" fillId="8" borderId="7" xfId="0" applyFont="1" applyFill="1" applyBorder="1" applyAlignment="1"/>
    <xf numFmtId="0" fontId="5" fillId="18" borderId="7" xfId="0" applyFont="1" applyFill="1" applyBorder="1" applyAlignment="1"/>
    <xf numFmtId="0" fontId="5" fillId="14" borderId="7" xfId="0" applyFont="1" applyFill="1" applyBorder="1" applyAlignment="1"/>
    <xf numFmtId="0" fontId="25" fillId="2" borderId="7" xfId="0" applyFont="1" applyFill="1" applyBorder="1" applyAlignment="1"/>
    <xf numFmtId="188" fontId="26" fillId="2" borderId="8" xfId="0" applyNumberFormat="1" applyFont="1" applyFill="1" applyBorder="1" applyAlignment="1"/>
    <xf numFmtId="188" fontId="25" fillId="2" borderId="8" xfId="0" applyNumberFormat="1" applyFont="1" applyFill="1" applyBorder="1" applyAlignment="1">
      <alignment horizontal="right"/>
    </xf>
    <xf numFmtId="189" fontId="25" fillId="22" borderId="8" xfId="0" applyNumberFormat="1" applyFont="1" applyFill="1" applyBorder="1" applyAlignment="1">
      <alignment horizontal="right"/>
    </xf>
    <xf numFmtId="189" fontId="25" fillId="2" borderId="8" xfId="0" applyNumberFormat="1" applyFont="1" applyFill="1" applyBorder="1" applyAlignment="1">
      <alignment horizontal="right"/>
    </xf>
    <xf numFmtId="0" fontId="25" fillId="0" borderId="8" xfId="0" applyFont="1" applyBorder="1" applyAlignment="1">
      <alignment horizontal="center"/>
    </xf>
    <xf numFmtId="0" fontId="26" fillId="0" borderId="8" xfId="0" applyFont="1" applyBorder="1" applyAlignment="1"/>
    <xf numFmtId="0" fontId="26" fillId="0" borderId="7" xfId="0" applyFont="1" applyBorder="1" applyAlignment="1"/>
    <xf numFmtId="0" fontId="25" fillId="0" borderId="7" xfId="0" quotePrefix="1" applyFont="1" applyBorder="1" applyAlignment="1"/>
    <xf numFmtId="187" fontId="26" fillId="0" borderId="7" xfId="0" applyNumberFormat="1" applyFont="1" applyBorder="1" applyAlignment="1"/>
    <xf numFmtId="187" fontId="26" fillId="0" borderId="6" xfId="0" applyNumberFormat="1" applyFont="1" applyBorder="1" applyAlignment="1"/>
    <xf numFmtId="188" fontId="26" fillId="0" borderId="8" xfId="0" applyNumberFormat="1" applyFont="1" applyBorder="1" applyAlignment="1"/>
    <xf numFmtId="189" fontId="26" fillId="2" borderId="8" xfId="0" applyNumberFormat="1" applyFont="1" applyFill="1" applyBorder="1" applyAlignment="1"/>
    <xf numFmtId="187" fontId="25" fillId="0" borderId="7" xfId="0" quotePrefix="1" applyNumberFormat="1" applyFont="1" applyBorder="1" applyAlignment="1"/>
    <xf numFmtId="0" fontId="25" fillId="0" borderId="7" xfId="0" applyFont="1" applyBorder="1" applyAlignment="1"/>
    <xf numFmtId="189" fontId="26" fillId="0" borderId="8" xfId="0" applyNumberFormat="1" applyFont="1" applyBorder="1" applyAlignment="1"/>
    <xf numFmtId="0" fontId="26" fillId="21" borderId="8" xfId="0" applyFont="1" applyFill="1" applyBorder="1" applyAlignment="1"/>
    <xf numFmtId="0" fontId="26" fillId="21" borderId="7" xfId="0" applyFont="1" applyFill="1" applyBorder="1" applyAlignment="1"/>
    <xf numFmtId="0" fontId="27" fillId="21" borderId="7" xfId="0" quotePrefix="1" applyFont="1" applyFill="1" applyBorder="1" applyAlignment="1"/>
    <xf numFmtId="187" fontId="28" fillId="2" borderId="7" xfId="0" applyNumberFormat="1" applyFont="1" applyFill="1" applyBorder="1" applyAlignment="1"/>
    <xf numFmtId="188" fontId="25" fillId="22" borderId="8" xfId="0" applyNumberFormat="1" applyFont="1" applyFill="1" applyBorder="1" applyAlignment="1">
      <alignment horizontal="right"/>
    </xf>
    <xf numFmtId="187" fontId="25" fillId="0" borderId="8" xfId="0" applyNumberFormat="1" applyFont="1" applyBorder="1" applyAlignment="1">
      <alignment horizontal="center" wrapText="1"/>
    </xf>
    <xf numFmtId="0" fontId="26" fillId="2" borderId="8" xfId="0" applyFont="1" applyFill="1" applyBorder="1" applyAlignment="1"/>
    <xf numFmtId="0" fontId="26" fillId="2" borderId="7" xfId="0" applyFont="1" applyFill="1" applyBorder="1" applyAlignment="1"/>
    <xf numFmtId="187" fontId="26" fillId="2" borderId="7" xfId="0" applyNumberFormat="1" applyFont="1" applyFill="1" applyBorder="1" applyAlignment="1"/>
    <xf numFmtId="187" fontId="26" fillId="2" borderId="6" xfId="0" applyNumberFormat="1" applyFont="1" applyFill="1" applyBorder="1" applyAlignment="1"/>
    <xf numFmtId="190" fontId="26" fillId="2" borderId="6" xfId="0" applyNumberFormat="1" applyFont="1" applyFill="1" applyBorder="1" applyAlignment="1"/>
    <xf numFmtId="188" fontId="28" fillId="2" borderId="8" xfId="0" applyNumberFormat="1" applyFont="1" applyFill="1" applyBorder="1" applyAlignment="1">
      <alignment horizontal="right"/>
    </xf>
    <xf numFmtId="187" fontId="28" fillId="0" borderId="8" xfId="0" applyNumberFormat="1" applyFont="1" applyBorder="1" applyAlignment="1">
      <alignment horizontal="center" wrapText="1"/>
    </xf>
    <xf numFmtId="0" fontId="27" fillId="2" borderId="7" xfId="0" applyFont="1" applyFill="1" applyBorder="1" applyAlignment="1"/>
    <xf numFmtId="0" fontId="28" fillId="2" borderId="7" xfId="0" applyFont="1" applyFill="1" applyBorder="1" applyAlignment="1"/>
    <xf numFmtId="188" fontId="26" fillId="24" borderId="8" xfId="0" applyNumberFormat="1" applyFont="1" applyFill="1" applyBorder="1" applyAlignment="1"/>
    <xf numFmtId="188" fontId="28" fillId="24" borderId="8" xfId="0" applyNumberFormat="1" applyFont="1" applyFill="1" applyBorder="1" applyAlignment="1">
      <alignment horizontal="right"/>
    </xf>
    <xf numFmtId="189" fontId="28" fillId="24" borderId="8" xfId="0" applyNumberFormat="1" applyFont="1" applyFill="1" applyBorder="1" applyAlignment="1">
      <alignment horizontal="right"/>
    </xf>
    <xf numFmtId="0" fontId="28" fillId="24" borderId="8" xfId="0" applyFont="1" applyFill="1" applyBorder="1" applyAlignment="1">
      <alignment horizontal="center" wrapText="1"/>
    </xf>
    <xf numFmtId="0" fontId="26" fillId="24" borderId="8" xfId="0" applyFont="1" applyFill="1" applyBorder="1" applyAlignment="1"/>
    <xf numFmtId="0" fontId="26" fillId="24" borderId="7" xfId="0" applyFont="1" applyFill="1" applyBorder="1" applyAlignment="1"/>
    <xf numFmtId="0" fontId="28" fillId="24" borderId="7" xfId="0" applyFont="1" applyFill="1" applyBorder="1" applyAlignment="1"/>
    <xf numFmtId="187" fontId="26" fillId="24" borderId="7" xfId="0" applyNumberFormat="1" applyFont="1" applyFill="1" applyBorder="1" applyAlignment="1"/>
    <xf numFmtId="187" fontId="26" fillId="24" borderId="6" xfId="0" applyNumberFormat="1" applyFont="1" applyFill="1" applyBorder="1" applyAlignment="1"/>
    <xf numFmtId="188" fontId="29" fillId="2" borderId="8" xfId="0" applyNumberFormat="1" applyFont="1" applyFill="1" applyBorder="1" applyAlignment="1"/>
    <xf numFmtId="0" fontId="29" fillId="0" borderId="8" xfId="0" applyFont="1" applyBorder="1" applyAlignment="1"/>
    <xf numFmtId="0" fontId="29" fillId="0" borderId="7" xfId="0" applyFont="1" applyBorder="1" applyAlignment="1"/>
    <xf numFmtId="187" fontId="29" fillId="0" borderId="7" xfId="0" applyNumberFormat="1" applyFont="1" applyBorder="1" applyAlignment="1"/>
    <xf numFmtId="187" fontId="29" fillId="0" borderId="6" xfId="0" applyNumberFormat="1" applyFont="1" applyBorder="1" applyAlignment="1"/>
    <xf numFmtId="188" fontId="29" fillId="0" borderId="8" xfId="0" applyNumberFormat="1" applyFont="1" applyBorder="1" applyAlignment="1"/>
    <xf numFmtId="189" fontId="29" fillId="2" borderId="8" xfId="0" applyNumberFormat="1" applyFont="1" applyFill="1" applyBorder="1" applyAlignment="1"/>
    <xf numFmtId="189" fontId="29" fillId="0" borderId="8" xfId="0" applyNumberFormat="1" applyFont="1" applyBorder="1" applyAlignment="1"/>
    <xf numFmtId="0" fontId="29" fillId="21" borderId="8" xfId="0" applyFont="1" applyFill="1" applyBorder="1" applyAlignment="1"/>
    <xf numFmtId="0" fontId="29" fillId="21" borderId="7" xfId="0" applyFont="1" applyFill="1" applyBorder="1" applyAlignment="1"/>
    <xf numFmtId="0" fontId="29" fillId="2" borderId="8" xfId="0" applyFont="1" applyFill="1" applyBorder="1" applyAlignment="1"/>
    <xf numFmtId="0" fontId="29" fillId="2" borderId="7" xfId="0" applyFont="1" applyFill="1" applyBorder="1" applyAlignment="1"/>
    <xf numFmtId="187" fontId="29" fillId="2" borderId="7" xfId="0" applyNumberFormat="1" applyFont="1" applyFill="1" applyBorder="1" applyAlignment="1"/>
    <xf numFmtId="187" fontId="29" fillId="2" borderId="6" xfId="0" applyNumberFormat="1" applyFont="1" applyFill="1" applyBorder="1" applyAlignment="1"/>
    <xf numFmtId="190" fontId="29" fillId="2" borderId="6" xfId="0" applyNumberFormat="1" applyFont="1" applyFill="1" applyBorder="1" applyAlignment="1"/>
    <xf numFmtId="188" fontId="29" fillId="24" borderId="8" xfId="0" applyNumberFormat="1" applyFont="1" applyFill="1" applyBorder="1" applyAlignment="1"/>
    <xf numFmtId="0" fontId="29" fillId="24" borderId="8" xfId="0" applyFont="1" applyFill="1" applyBorder="1" applyAlignment="1"/>
    <xf numFmtId="0" fontId="29" fillId="24" borderId="7" xfId="0" applyFont="1" applyFill="1" applyBorder="1" applyAlignment="1"/>
    <xf numFmtId="187" fontId="29" fillId="24" borderId="7" xfId="0" applyNumberFormat="1" applyFont="1" applyFill="1" applyBorder="1" applyAlignment="1"/>
    <xf numFmtId="187" fontId="29" fillId="24" borderId="6" xfId="0" applyNumberFormat="1" applyFont="1" applyFill="1" applyBorder="1" applyAlignment="1"/>
    <xf numFmtId="0" fontId="27" fillId="2" borderId="7" xfId="0" quotePrefix="1" applyFont="1" applyFill="1" applyBorder="1" applyAlignment="1"/>
    <xf numFmtId="188" fontId="1" fillId="7" borderId="1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391"/>
  <sheetViews>
    <sheetView view="pageBreakPreview" zoomScale="60" zoomScaleNormal="68" workbookViewId="0">
      <pane xSplit="8" ySplit="6" topLeftCell="I339" activePane="bottomRight" state="frozen"/>
      <selection activeCell="P44" sqref="P44"/>
      <selection pane="topRight" activeCell="P44" sqref="P44"/>
      <selection pane="bottomLeft" activeCell="P44" sqref="P44"/>
      <selection pane="bottomRight" activeCell="S41" sqref="S4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3" width="21.5703125" bestFit="1" customWidth="1"/>
    <col min="14" max="14" width="19" bestFit="1" customWidth="1"/>
    <col min="15" max="15" width="17.5703125" customWidth="1"/>
    <col min="16" max="16" width="22.42578125" bestFit="1" customWidth="1"/>
  </cols>
  <sheetData>
    <row r="1" spans="1:16" ht="19.5" x14ac:dyDescent="0.3">
      <c r="A1" s="386" t="s">
        <v>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</row>
    <row r="2" spans="1:16" ht="19.5" x14ac:dyDescent="0.3">
      <c r="A2" s="386" t="s">
        <v>1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</row>
    <row r="3" spans="1:16" ht="19.5" x14ac:dyDescent="0.3">
      <c r="A3" s="386" t="s">
        <v>175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388" t="s">
        <v>2</v>
      </c>
      <c r="B5" s="387"/>
      <c r="C5" s="387"/>
      <c r="D5" s="387"/>
      <c r="E5" s="387"/>
      <c r="F5" s="387"/>
      <c r="G5" s="389"/>
      <c r="H5" s="4" t="s">
        <v>3</v>
      </c>
      <c r="I5" s="391" t="s">
        <v>4</v>
      </c>
      <c r="J5" s="379"/>
      <c r="K5" s="380"/>
      <c r="L5" s="392" t="s">
        <v>5</v>
      </c>
      <c r="M5" s="380"/>
      <c r="N5" s="393" t="s">
        <v>6</v>
      </c>
      <c r="O5" s="379"/>
      <c r="P5" s="380"/>
    </row>
    <row r="6" spans="1:16" ht="19.5" x14ac:dyDescent="0.3">
      <c r="A6" s="390"/>
      <c r="B6" s="379"/>
      <c r="C6" s="379"/>
      <c r="D6" s="379"/>
      <c r="E6" s="379"/>
      <c r="F6" s="379"/>
      <c r="G6" s="380"/>
      <c r="H6" s="5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466" t="s">
        <v>14</v>
      </c>
    </row>
    <row r="7" spans="1:16" ht="12.75" hidden="1" x14ac:dyDescent="0.2">
      <c r="A7" s="381"/>
      <c r="B7" s="379"/>
      <c r="C7" s="379"/>
      <c r="D7" s="379"/>
      <c r="E7" s="379"/>
      <c r="F7" s="379"/>
      <c r="G7" s="380"/>
      <c r="H7" s="12"/>
      <c r="I7" s="13"/>
      <c r="J7" s="13"/>
      <c r="K7" s="14"/>
      <c r="L7" s="14"/>
      <c r="M7" s="14"/>
      <c r="N7" s="14"/>
      <c r="O7" s="14"/>
      <c r="P7" s="14"/>
    </row>
    <row r="8" spans="1:16" ht="12.75" hidden="1" x14ac:dyDescent="0.2">
      <c r="A8" s="15"/>
      <c r="B8" s="16"/>
      <c r="C8" s="16"/>
      <c r="D8" s="16"/>
      <c r="E8" s="16"/>
      <c r="F8" s="16"/>
      <c r="G8" s="17"/>
      <c r="H8" s="17"/>
      <c r="I8" s="18"/>
      <c r="J8" s="18"/>
      <c r="K8" s="19"/>
      <c r="L8" s="19"/>
      <c r="M8" s="19"/>
      <c r="N8" s="19"/>
      <c r="O8" s="19"/>
      <c r="P8" s="19"/>
    </row>
    <row r="9" spans="1:16" ht="12.75" hidden="1" x14ac:dyDescent="0.2">
      <c r="A9" s="15"/>
      <c r="B9" s="16"/>
      <c r="C9" s="16"/>
      <c r="D9" s="16"/>
      <c r="E9" s="16"/>
      <c r="F9" s="16"/>
      <c r="G9" s="17"/>
      <c r="H9" s="17"/>
      <c r="I9" s="18"/>
      <c r="J9" s="18"/>
      <c r="K9" s="19"/>
      <c r="L9" s="19"/>
      <c r="M9" s="19"/>
      <c r="N9" s="19"/>
      <c r="O9" s="19"/>
      <c r="P9" s="19"/>
    </row>
    <row r="10" spans="1:16" ht="12.75" hidden="1" x14ac:dyDescent="0.2">
      <c r="A10" s="15"/>
      <c r="B10" s="16"/>
      <c r="C10" s="16"/>
      <c r="D10" s="16"/>
      <c r="E10" s="16"/>
      <c r="F10" s="16"/>
      <c r="G10" s="17"/>
      <c r="H10" s="17"/>
      <c r="I10" s="18"/>
      <c r="J10" s="18"/>
      <c r="K10" s="19"/>
      <c r="L10" s="19"/>
      <c r="M10" s="19"/>
      <c r="N10" s="19"/>
      <c r="O10" s="19"/>
      <c r="P10" s="19"/>
    </row>
    <row r="11" spans="1:16" ht="12.75" hidden="1" x14ac:dyDescent="0.2">
      <c r="A11" s="15"/>
      <c r="B11" s="16"/>
      <c r="C11" s="16"/>
      <c r="D11" s="16"/>
      <c r="E11" s="16"/>
      <c r="F11" s="16"/>
      <c r="G11" s="17"/>
      <c r="H11" s="17"/>
      <c r="I11" s="18"/>
      <c r="J11" s="18"/>
      <c r="K11" s="19"/>
      <c r="L11" s="19"/>
      <c r="M11" s="19"/>
      <c r="N11" s="19"/>
      <c r="O11" s="19"/>
      <c r="P11" s="19"/>
    </row>
    <row r="12" spans="1:16" ht="12.75" hidden="1" x14ac:dyDescent="0.2">
      <c r="A12" s="15"/>
      <c r="B12" s="16"/>
      <c r="C12" s="16"/>
      <c r="D12" s="16"/>
      <c r="E12" s="16"/>
      <c r="F12" s="16"/>
      <c r="G12" s="17"/>
      <c r="H12" s="17"/>
      <c r="I12" s="18"/>
      <c r="J12" s="18"/>
      <c r="K12" s="19"/>
      <c r="L12" s="19"/>
      <c r="M12" s="19"/>
      <c r="N12" s="19"/>
      <c r="O12" s="19"/>
      <c r="P12" s="19"/>
    </row>
    <row r="13" spans="1:16" ht="12.75" hidden="1" x14ac:dyDescent="0.2">
      <c r="A13" s="15"/>
      <c r="B13" s="16"/>
      <c r="C13" s="16"/>
      <c r="D13" s="16"/>
      <c r="E13" s="16"/>
      <c r="F13" s="16"/>
      <c r="G13" s="17"/>
      <c r="H13" s="17"/>
      <c r="I13" s="18"/>
      <c r="J13" s="18"/>
      <c r="K13" s="19"/>
      <c r="L13" s="19"/>
      <c r="M13" s="19"/>
      <c r="N13" s="19"/>
      <c r="O13" s="19"/>
      <c r="P13" s="19"/>
    </row>
    <row r="14" spans="1:16" ht="12.75" hidden="1" x14ac:dyDescent="0.2">
      <c r="A14" s="15"/>
      <c r="B14" s="16"/>
      <c r="C14" s="16"/>
      <c r="D14" s="16"/>
      <c r="E14" s="16"/>
      <c r="F14" s="16"/>
      <c r="G14" s="17"/>
      <c r="H14" s="17"/>
      <c r="I14" s="18"/>
      <c r="J14" s="18"/>
      <c r="K14" s="19"/>
      <c r="L14" s="19"/>
      <c r="M14" s="19"/>
      <c r="N14" s="19"/>
      <c r="O14" s="19"/>
      <c r="P14" s="19"/>
    </row>
    <row r="15" spans="1:16" ht="12.75" hidden="1" x14ac:dyDescent="0.2">
      <c r="A15" s="15"/>
      <c r="B15" s="16"/>
      <c r="C15" s="16"/>
      <c r="D15" s="16"/>
      <c r="E15" s="16"/>
      <c r="F15" s="16"/>
      <c r="G15" s="17"/>
      <c r="H15" s="17"/>
      <c r="I15" s="18"/>
      <c r="J15" s="18"/>
      <c r="K15" s="19"/>
      <c r="L15" s="19"/>
      <c r="M15" s="19"/>
      <c r="N15" s="19"/>
      <c r="O15" s="19"/>
      <c r="P15" s="19"/>
    </row>
    <row r="16" spans="1:16" ht="12.75" hidden="1" x14ac:dyDescent="0.2">
      <c r="A16" s="20"/>
      <c r="B16" s="21"/>
      <c r="C16" s="21"/>
      <c r="D16" s="21"/>
      <c r="E16" s="21"/>
      <c r="F16" s="21"/>
      <c r="G16" s="12"/>
      <c r="H16" s="12"/>
      <c r="I16" s="13"/>
      <c r="J16" s="13"/>
      <c r="K16" s="14"/>
      <c r="L16" s="14"/>
      <c r="M16" s="14"/>
      <c r="N16" s="14"/>
      <c r="O16" s="14"/>
      <c r="P16" s="14"/>
    </row>
    <row r="17" spans="1:16" ht="19.5" x14ac:dyDescent="0.3">
      <c r="A17" s="378" t="s">
        <v>15</v>
      </c>
      <c r="B17" s="379"/>
      <c r="C17" s="379"/>
      <c r="D17" s="379"/>
      <c r="E17" s="379"/>
      <c r="F17" s="379"/>
      <c r="G17" s="380"/>
      <c r="H17" s="22"/>
      <c r="I17" s="23"/>
      <c r="J17" s="23"/>
      <c r="K17" s="24"/>
      <c r="L17" s="24"/>
      <c r="M17" s="24"/>
      <c r="N17" s="24"/>
      <c r="O17" s="24"/>
      <c r="P17" s="24"/>
    </row>
    <row r="18" spans="1:16" ht="19.5" x14ac:dyDescent="0.3">
      <c r="A18" s="25"/>
      <c r="B18" s="26"/>
      <c r="C18" s="27" t="s">
        <v>16</v>
      </c>
      <c r="D18" s="28" t="s">
        <v>17</v>
      </c>
      <c r="E18" s="26"/>
      <c r="F18" s="26"/>
      <c r="G18" s="29"/>
      <c r="H18" s="30" t="s">
        <v>12</v>
      </c>
      <c r="I18" s="31"/>
      <c r="J18" s="31"/>
      <c r="K18" s="32"/>
      <c r="L18" s="33">
        <f t="shared" ref="L18:N18" ca="1" si="0">L19+L20</f>
        <v>2275199</v>
      </c>
      <c r="M18" s="33">
        <f t="shared" ca="1" si="0"/>
        <v>1844159</v>
      </c>
      <c r="N18" s="33">
        <f t="shared" ca="1" si="0"/>
        <v>629563.63</v>
      </c>
      <c r="O18" s="33">
        <f t="shared" ref="O18:O26" ca="1" si="1">IF(L18&gt;0,N18*100/L18,0)</f>
        <v>27.670706166801235</v>
      </c>
      <c r="P18" s="33">
        <f t="shared" ref="P18:P26" ca="1" si="2">IF(M18&gt;0,N18*100/M18,0)</f>
        <v>34.138251094401298</v>
      </c>
    </row>
    <row r="19" spans="1:16" ht="18.75" hidden="1" x14ac:dyDescent="0.25">
      <c r="A19" s="25"/>
      <c r="B19" s="26"/>
      <c r="C19" s="26"/>
      <c r="D19" s="26"/>
      <c r="E19" s="34" t="s">
        <v>18</v>
      </c>
      <c r="F19" s="26"/>
      <c r="G19" s="29"/>
      <c r="H19" s="35" t="s">
        <v>12</v>
      </c>
      <c r="I19" s="31"/>
      <c r="J19" s="31"/>
      <c r="K19" s="32"/>
      <c r="L19" s="36">
        <f t="shared" ref="L19:N19" si="3">L22+L25</f>
        <v>0</v>
      </c>
      <c r="M19" s="36">
        <f t="shared" si="3"/>
        <v>0</v>
      </c>
      <c r="N19" s="36">
        <f t="shared" si="3"/>
        <v>0</v>
      </c>
      <c r="O19" s="36">
        <f t="shared" si="1"/>
        <v>0</v>
      </c>
      <c r="P19" s="36">
        <f t="shared" si="2"/>
        <v>0</v>
      </c>
    </row>
    <row r="20" spans="1:16" ht="18.75" x14ac:dyDescent="0.25">
      <c r="A20" s="25"/>
      <c r="B20" s="26"/>
      <c r="C20" s="26"/>
      <c r="D20" s="26"/>
      <c r="E20" s="37" t="s">
        <v>19</v>
      </c>
      <c r="F20" s="26"/>
      <c r="G20" s="29"/>
      <c r="H20" s="38" t="s">
        <v>12</v>
      </c>
      <c r="I20" s="31"/>
      <c r="J20" s="31"/>
      <c r="K20" s="32"/>
      <c r="L20" s="39">
        <f t="shared" ref="L20:N20" ca="1" si="4">L23+L26</f>
        <v>2275199</v>
      </c>
      <c r="M20" s="39">
        <f t="shared" ca="1" si="4"/>
        <v>1844159</v>
      </c>
      <c r="N20" s="39">
        <f t="shared" ca="1" si="4"/>
        <v>629563.63</v>
      </c>
      <c r="O20" s="39">
        <f t="shared" ca="1" si="1"/>
        <v>27.670706166801235</v>
      </c>
      <c r="P20" s="39">
        <f t="shared" ca="1" si="2"/>
        <v>34.138251094401298</v>
      </c>
    </row>
    <row r="21" spans="1:16" ht="18.75" x14ac:dyDescent="0.25">
      <c r="A21" s="40"/>
      <c r="B21" s="41"/>
      <c r="C21" s="41"/>
      <c r="D21" s="42" t="s">
        <v>20</v>
      </c>
      <c r="E21" s="41"/>
      <c r="F21" s="41"/>
      <c r="G21" s="43"/>
      <c r="H21" s="44" t="s">
        <v>12</v>
      </c>
      <c r="I21" s="45"/>
      <c r="J21" s="45"/>
      <c r="K21" s="46"/>
      <c r="L21" s="47">
        <f t="shared" ref="L21:N21" ca="1" si="5">L22+L23</f>
        <v>2275199</v>
      </c>
      <c r="M21" s="47">
        <f t="shared" ca="1" si="5"/>
        <v>1844159</v>
      </c>
      <c r="N21" s="47">
        <f t="shared" ca="1" si="5"/>
        <v>629563.63</v>
      </c>
      <c r="O21" s="47">
        <f t="shared" ca="1" si="1"/>
        <v>27.670706166801235</v>
      </c>
      <c r="P21" s="47">
        <f t="shared" ca="1" si="2"/>
        <v>34.138251094401298</v>
      </c>
    </row>
    <row r="22" spans="1:16" ht="18.75" hidden="1" x14ac:dyDescent="0.25">
      <c r="A22" s="40"/>
      <c r="B22" s="41"/>
      <c r="C22" s="41"/>
      <c r="D22" s="41"/>
      <c r="E22" s="48" t="s">
        <v>18</v>
      </c>
      <c r="F22" s="41"/>
      <c r="G22" s="43"/>
      <c r="H22" s="49" t="s">
        <v>12</v>
      </c>
      <c r="I22" s="45"/>
      <c r="J22" s="45"/>
      <c r="K22" s="46"/>
      <c r="L22" s="50">
        <f t="shared" ref="L22:N22" si="6">L48+L63+L76+L98+L129+L143+L161+L190+L177+L270+L286+L307+L324+L337+L360+L381</f>
        <v>0</v>
      </c>
      <c r="M22" s="50">
        <f t="shared" si="6"/>
        <v>0</v>
      </c>
      <c r="N22" s="50">
        <f t="shared" si="6"/>
        <v>0</v>
      </c>
      <c r="O22" s="50">
        <f t="shared" si="1"/>
        <v>0</v>
      </c>
      <c r="P22" s="50">
        <f t="shared" si="2"/>
        <v>0</v>
      </c>
    </row>
    <row r="23" spans="1:16" ht="18.75" x14ac:dyDescent="0.25">
      <c r="A23" s="40"/>
      <c r="B23" s="41"/>
      <c r="C23" s="41"/>
      <c r="D23" s="41"/>
      <c r="E23" s="51" t="s">
        <v>19</v>
      </c>
      <c r="F23" s="41"/>
      <c r="G23" s="43"/>
      <c r="H23" s="44" t="s">
        <v>12</v>
      </c>
      <c r="I23" s="45"/>
      <c r="J23" s="45"/>
      <c r="K23" s="46"/>
      <c r="L23" s="47">
        <f t="shared" ref="L23:N23" ca="1" si="7">L49+L64+L77+L99+L130+L144+L162+L191+L178+L271+L287+L308+L325+L338+L361+L382</f>
        <v>2275199</v>
      </c>
      <c r="M23" s="47">
        <f t="shared" ca="1" si="7"/>
        <v>1844159</v>
      </c>
      <c r="N23" s="47">
        <f t="shared" ca="1" si="7"/>
        <v>629563.63</v>
      </c>
      <c r="O23" s="47">
        <f t="shared" ca="1" si="1"/>
        <v>27.670706166801235</v>
      </c>
      <c r="P23" s="47">
        <f t="shared" ca="1" si="2"/>
        <v>34.138251094401298</v>
      </c>
    </row>
    <row r="24" spans="1:16" ht="18.75" x14ac:dyDescent="0.25">
      <c r="A24" s="40"/>
      <c r="B24" s="41"/>
      <c r="C24" s="41"/>
      <c r="D24" s="42" t="s">
        <v>21</v>
      </c>
      <c r="E24" s="41"/>
      <c r="F24" s="41"/>
      <c r="G24" s="43"/>
      <c r="H24" s="44" t="s">
        <v>12</v>
      </c>
      <c r="I24" s="45"/>
      <c r="J24" s="45"/>
      <c r="K24" s="46"/>
      <c r="L24" s="47">
        <f t="shared" ref="L24:N24" ca="1" si="8">L25+L26</f>
        <v>0</v>
      </c>
      <c r="M24" s="47">
        <f t="shared" ca="1" si="8"/>
        <v>0</v>
      </c>
      <c r="N24" s="47">
        <f t="shared" ca="1" si="8"/>
        <v>0</v>
      </c>
      <c r="O24" s="47">
        <f t="shared" ca="1" si="1"/>
        <v>0</v>
      </c>
      <c r="P24" s="47">
        <f t="shared" ca="1" si="2"/>
        <v>0</v>
      </c>
    </row>
    <row r="25" spans="1:16" ht="18.75" hidden="1" x14ac:dyDescent="0.25">
      <c r="A25" s="40"/>
      <c r="B25" s="41"/>
      <c r="C25" s="41"/>
      <c r="D25" s="41"/>
      <c r="E25" s="48" t="s">
        <v>18</v>
      </c>
      <c r="F25" s="41"/>
      <c r="G25" s="43"/>
      <c r="H25" s="49" t="s">
        <v>12</v>
      </c>
      <c r="I25" s="45"/>
      <c r="J25" s="45"/>
      <c r="K25" s="46"/>
      <c r="L25" s="50">
        <f t="shared" ref="L25:N25" si="9">L51+L66+L79+L101+L132+L146+L164+L193+L180+L273+L289+L310+L327+L340+L363+L384</f>
        <v>0</v>
      </c>
      <c r="M25" s="50">
        <f t="shared" si="9"/>
        <v>0</v>
      </c>
      <c r="N25" s="50">
        <f t="shared" si="9"/>
        <v>0</v>
      </c>
      <c r="O25" s="50">
        <f t="shared" si="1"/>
        <v>0</v>
      </c>
      <c r="P25" s="50">
        <f t="shared" si="2"/>
        <v>0</v>
      </c>
    </row>
    <row r="26" spans="1:16" ht="18.75" x14ac:dyDescent="0.25">
      <c r="A26" s="40"/>
      <c r="B26" s="41"/>
      <c r="C26" s="41"/>
      <c r="D26" s="41"/>
      <c r="E26" s="51" t="s">
        <v>19</v>
      </c>
      <c r="F26" s="41"/>
      <c r="G26" s="43"/>
      <c r="H26" s="44" t="s">
        <v>12</v>
      </c>
      <c r="I26" s="45"/>
      <c r="J26" s="45"/>
      <c r="K26" s="46"/>
      <c r="L26" s="47">
        <f t="shared" ref="L26:N26" ca="1" si="10">L52+L67+L80+L102+L133+L147+L165+L194+L181+L274+L290+L311+L328+L341+L364+L385</f>
        <v>0</v>
      </c>
      <c r="M26" s="47">
        <f t="shared" ca="1" si="10"/>
        <v>0</v>
      </c>
      <c r="N26" s="47">
        <f t="shared" ca="1" si="10"/>
        <v>0</v>
      </c>
      <c r="O26" s="47">
        <f t="shared" ca="1" si="1"/>
        <v>0</v>
      </c>
      <c r="P26" s="47">
        <f t="shared" ca="1" si="2"/>
        <v>0</v>
      </c>
    </row>
    <row r="27" spans="1:16" ht="18.75" hidden="1" x14ac:dyDescent="0.25">
      <c r="A27" s="40"/>
      <c r="B27" s="41"/>
      <c r="C27" s="41"/>
      <c r="D27" s="42" t="s">
        <v>22</v>
      </c>
      <c r="E27" s="41"/>
      <c r="F27" s="41"/>
      <c r="G27" s="43"/>
      <c r="H27" s="44" t="s">
        <v>12</v>
      </c>
      <c r="I27" s="45"/>
      <c r="J27" s="45"/>
      <c r="K27" s="46"/>
      <c r="L27" s="47"/>
      <c r="M27" s="47"/>
      <c r="N27" s="47"/>
      <c r="O27" s="47"/>
      <c r="P27" s="47"/>
    </row>
    <row r="28" spans="1:16" ht="18.75" hidden="1" x14ac:dyDescent="0.25">
      <c r="A28" s="40"/>
      <c r="B28" s="41"/>
      <c r="C28" s="41"/>
      <c r="D28" s="41"/>
      <c r="E28" s="48" t="s">
        <v>18</v>
      </c>
      <c r="F28" s="41"/>
      <c r="G28" s="43"/>
      <c r="H28" s="49" t="s">
        <v>12</v>
      </c>
      <c r="I28" s="45"/>
      <c r="J28" s="45"/>
      <c r="K28" s="46"/>
      <c r="L28" s="50"/>
      <c r="M28" s="50"/>
      <c r="N28" s="50"/>
      <c r="O28" s="50"/>
      <c r="P28" s="50"/>
    </row>
    <row r="29" spans="1:16" ht="18.75" hidden="1" x14ac:dyDescent="0.25">
      <c r="A29" s="52"/>
      <c r="B29" s="1"/>
      <c r="C29" s="1"/>
      <c r="D29" s="1"/>
      <c r="E29" s="53" t="s">
        <v>19</v>
      </c>
      <c r="F29" s="1"/>
      <c r="G29" s="54"/>
      <c r="H29" s="55" t="s">
        <v>12</v>
      </c>
      <c r="I29" s="56"/>
      <c r="J29" s="56"/>
      <c r="K29" s="57"/>
      <c r="L29" s="58"/>
      <c r="M29" s="58"/>
      <c r="N29" s="58"/>
      <c r="O29" s="58"/>
      <c r="P29" s="58"/>
    </row>
    <row r="30" spans="1:16" ht="12.75" hidden="1" x14ac:dyDescent="0.2">
      <c r="A30" s="381"/>
      <c r="B30" s="379"/>
      <c r="C30" s="379"/>
      <c r="D30" s="379"/>
      <c r="E30" s="379"/>
      <c r="F30" s="379"/>
      <c r="G30" s="380"/>
      <c r="H30" s="12"/>
      <c r="I30" s="13"/>
      <c r="J30" s="13"/>
      <c r="K30" s="14"/>
      <c r="L30" s="14"/>
      <c r="M30" s="14"/>
      <c r="N30" s="14"/>
      <c r="O30" s="14"/>
      <c r="P30" s="14"/>
    </row>
    <row r="31" spans="1:16" ht="12.75" hidden="1" x14ac:dyDescent="0.2">
      <c r="A31" s="15"/>
      <c r="B31" s="16"/>
      <c r="C31" s="16"/>
      <c r="D31" s="16"/>
      <c r="E31" s="16"/>
      <c r="F31" s="16"/>
      <c r="G31" s="17"/>
      <c r="H31" s="17"/>
      <c r="I31" s="18"/>
      <c r="J31" s="18"/>
      <c r="K31" s="19"/>
      <c r="L31" s="19"/>
      <c r="M31" s="19"/>
      <c r="N31" s="19"/>
      <c r="O31" s="19"/>
      <c r="P31" s="19"/>
    </row>
    <row r="32" spans="1:16" ht="12.75" hidden="1" x14ac:dyDescent="0.2">
      <c r="A32" s="15"/>
      <c r="B32" s="16"/>
      <c r="C32" s="16"/>
      <c r="D32" s="16"/>
      <c r="E32" s="16"/>
      <c r="F32" s="16"/>
      <c r="G32" s="17"/>
      <c r="H32" s="17"/>
      <c r="I32" s="18"/>
      <c r="J32" s="18"/>
      <c r="K32" s="19"/>
      <c r="L32" s="19"/>
      <c r="M32" s="19"/>
      <c r="N32" s="19"/>
      <c r="O32" s="19"/>
      <c r="P32" s="19"/>
    </row>
    <row r="33" spans="1:16" ht="12.75" hidden="1" x14ac:dyDescent="0.2">
      <c r="A33" s="15"/>
      <c r="B33" s="16"/>
      <c r="C33" s="16"/>
      <c r="D33" s="16"/>
      <c r="E33" s="16"/>
      <c r="F33" s="16"/>
      <c r="G33" s="17"/>
      <c r="H33" s="17"/>
      <c r="I33" s="18"/>
      <c r="J33" s="18"/>
      <c r="K33" s="19"/>
      <c r="L33" s="19"/>
      <c r="M33" s="19"/>
      <c r="N33" s="19"/>
      <c r="O33" s="19"/>
      <c r="P33" s="19"/>
    </row>
    <row r="34" spans="1:16" ht="12.75" hidden="1" x14ac:dyDescent="0.2">
      <c r="A34" s="15"/>
      <c r="B34" s="16"/>
      <c r="C34" s="16"/>
      <c r="D34" s="16"/>
      <c r="E34" s="16"/>
      <c r="F34" s="16"/>
      <c r="G34" s="17"/>
      <c r="H34" s="17"/>
      <c r="I34" s="18"/>
      <c r="J34" s="18"/>
      <c r="K34" s="19"/>
      <c r="L34" s="19"/>
      <c r="M34" s="19"/>
      <c r="N34" s="19"/>
      <c r="O34" s="19"/>
      <c r="P34" s="19"/>
    </row>
    <row r="35" spans="1:16" ht="12.75" hidden="1" x14ac:dyDescent="0.2">
      <c r="A35" s="15"/>
      <c r="B35" s="16"/>
      <c r="C35" s="16"/>
      <c r="D35" s="16"/>
      <c r="E35" s="16"/>
      <c r="F35" s="16"/>
      <c r="G35" s="17"/>
      <c r="H35" s="17"/>
      <c r="I35" s="18"/>
      <c r="J35" s="18"/>
      <c r="K35" s="19"/>
      <c r="L35" s="19"/>
      <c r="M35" s="19"/>
      <c r="N35" s="19"/>
      <c r="O35" s="19"/>
      <c r="P35" s="19"/>
    </row>
    <row r="36" spans="1:16" ht="12.75" hidden="1" x14ac:dyDescent="0.2">
      <c r="A36" s="15"/>
      <c r="B36" s="16"/>
      <c r="C36" s="16"/>
      <c r="D36" s="16"/>
      <c r="E36" s="16"/>
      <c r="F36" s="16"/>
      <c r="G36" s="17"/>
      <c r="H36" s="17"/>
      <c r="I36" s="18"/>
      <c r="J36" s="18"/>
      <c r="K36" s="19"/>
      <c r="L36" s="19"/>
      <c r="M36" s="19"/>
      <c r="N36" s="19"/>
      <c r="O36" s="19"/>
      <c r="P36" s="19"/>
    </row>
    <row r="37" spans="1:16" ht="12.75" hidden="1" x14ac:dyDescent="0.2">
      <c r="A37" s="15"/>
      <c r="B37" s="16"/>
      <c r="C37" s="16"/>
      <c r="D37" s="16"/>
      <c r="E37" s="16"/>
      <c r="F37" s="16"/>
      <c r="G37" s="17"/>
      <c r="H37" s="17"/>
      <c r="I37" s="18"/>
      <c r="J37" s="18"/>
      <c r="K37" s="19"/>
      <c r="L37" s="19"/>
      <c r="M37" s="19"/>
      <c r="N37" s="19"/>
      <c r="O37" s="19"/>
      <c r="P37" s="19"/>
    </row>
    <row r="38" spans="1:16" ht="12.75" hidden="1" x14ac:dyDescent="0.2">
      <c r="A38" s="15"/>
      <c r="B38" s="16"/>
      <c r="C38" s="16"/>
      <c r="D38" s="16"/>
      <c r="E38" s="16"/>
      <c r="F38" s="16"/>
      <c r="G38" s="17"/>
      <c r="H38" s="17"/>
      <c r="I38" s="18"/>
      <c r="J38" s="18"/>
      <c r="K38" s="19"/>
      <c r="L38" s="19"/>
      <c r="M38" s="19"/>
      <c r="N38" s="19"/>
      <c r="O38" s="19"/>
      <c r="P38" s="19"/>
    </row>
    <row r="39" spans="1:16" ht="12.75" hidden="1" x14ac:dyDescent="0.2">
      <c r="A39" s="20"/>
      <c r="B39" s="21"/>
      <c r="C39" s="21"/>
      <c r="D39" s="21"/>
      <c r="E39" s="21"/>
      <c r="F39" s="21"/>
      <c r="G39" s="12"/>
      <c r="H39" s="12"/>
      <c r="I39" s="13"/>
      <c r="J39" s="13"/>
      <c r="K39" s="14"/>
      <c r="L39" s="14"/>
      <c r="M39" s="14"/>
      <c r="N39" s="14"/>
      <c r="O39" s="14"/>
      <c r="P39" s="14"/>
    </row>
    <row r="40" spans="1:16" ht="19.5" hidden="1" x14ac:dyDescent="0.3">
      <c r="A40" s="59" t="s">
        <v>23</v>
      </c>
      <c r="B40" s="60"/>
      <c r="C40" s="60"/>
      <c r="D40" s="60"/>
      <c r="E40" s="60"/>
      <c r="F40" s="60"/>
      <c r="G40" s="61"/>
      <c r="H40" s="61"/>
      <c r="I40" s="62"/>
      <c r="J40" s="62"/>
      <c r="K40" s="63"/>
      <c r="L40" s="64">
        <f t="shared" ref="L40:N40" ca="1" si="11">L44+L59+L72+L94+L125+L139+L157+L173+L186+L266+L282+L303+L320+L333+L356</f>
        <v>2275199</v>
      </c>
      <c r="M40" s="64">
        <f t="shared" ca="1" si="11"/>
        <v>1844159</v>
      </c>
      <c r="N40" s="64">
        <f t="shared" ca="1" si="11"/>
        <v>629563.63</v>
      </c>
      <c r="O40" s="64">
        <f ca="1">IF(L40&gt;0,N40*100/L40,0)</f>
        <v>27.670706166801235</v>
      </c>
      <c r="P40" s="64">
        <f ca="1">IF(M40&gt;0,N40*100/M40,0)</f>
        <v>34.138251094401298</v>
      </c>
    </row>
    <row r="41" spans="1:16" ht="19.5" x14ac:dyDescent="0.3">
      <c r="A41" s="65" t="s">
        <v>24</v>
      </c>
      <c r="B41" s="66"/>
      <c r="C41" s="66"/>
      <c r="D41" s="66"/>
      <c r="E41" s="66"/>
      <c r="F41" s="66"/>
      <c r="G41" s="66"/>
      <c r="H41" s="66"/>
      <c r="I41" s="67"/>
      <c r="J41" s="67"/>
      <c r="K41" s="68"/>
      <c r="L41" s="68"/>
      <c r="M41" s="68"/>
      <c r="N41" s="68"/>
      <c r="O41" s="68"/>
      <c r="P41" s="69"/>
    </row>
    <row r="42" spans="1:16" ht="19.5" x14ac:dyDescent="0.3">
      <c r="A42" s="70"/>
      <c r="B42" s="71" t="s">
        <v>25</v>
      </c>
      <c r="C42" s="70"/>
      <c r="D42" s="70"/>
      <c r="E42" s="70"/>
      <c r="F42" s="70"/>
      <c r="G42" s="72"/>
      <c r="H42" s="72"/>
      <c r="I42" s="73"/>
      <c r="J42" s="73"/>
      <c r="K42" s="74"/>
      <c r="L42" s="74"/>
      <c r="M42" s="74"/>
      <c r="N42" s="74"/>
      <c r="O42" s="74"/>
      <c r="P42" s="74"/>
    </row>
    <row r="43" spans="1:16" ht="12.75" hidden="1" x14ac:dyDescent="0.2">
      <c r="A43" s="15"/>
      <c r="B43" s="16"/>
      <c r="C43" s="16"/>
      <c r="D43" s="16"/>
      <c r="E43" s="16"/>
      <c r="F43" s="16"/>
      <c r="G43" s="17"/>
      <c r="H43" s="17"/>
      <c r="I43" s="18"/>
      <c r="J43" s="18"/>
      <c r="K43" s="19"/>
      <c r="L43" s="19"/>
      <c r="M43" s="19"/>
      <c r="N43" s="19"/>
      <c r="O43" s="19"/>
      <c r="P43" s="19"/>
    </row>
    <row r="44" spans="1:16" ht="19.5" x14ac:dyDescent="0.3">
      <c r="A44" s="75"/>
      <c r="B44" s="76"/>
      <c r="C44" s="77" t="s">
        <v>16</v>
      </c>
      <c r="D44" s="78" t="s">
        <v>17</v>
      </c>
      <c r="E44" s="76"/>
      <c r="F44" s="76"/>
      <c r="G44" s="79"/>
      <c r="H44" s="80" t="s">
        <v>12</v>
      </c>
      <c r="I44" s="81"/>
      <c r="J44" s="81"/>
      <c r="K44" s="82"/>
      <c r="L44" s="83">
        <f t="shared" ref="L44:N44" ca="1" si="12">L45+L46</f>
        <v>319029</v>
      </c>
      <c r="M44" s="83">
        <f t="shared" ca="1" si="12"/>
        <v>319029</v>
      </c>
      <c r="N44" s="83">
        <f t="shared" ca="1" si="12"/>
        <v>113429</v>
      </c>
      <c r="O44" s="83">
        <f t="shared" ref="O44:O52" ca="1" si="13">IF(L44&gt;0,N44*100/L44,0)</f>
        <v>35.554448028235676</v>
      </c>
      <c r="P44" s="83">
        <f t="shared" ref="P44:P52" ca="1" si="14">IF(M44&gt;0,N44*100/M44,0)</f>
        <v>35.554448028235676</v>
      </c>
    </row>
    <row r="45" spans="1:16" ht="18.75" hidden="1" x14ac:dyDescent="0.25">
      <c r="A45" s="75"/>
      <c r="B45" s="76"/>
      <c r="C45" s="76"/>
      <c r="D45" s="76"/>
      <c r="E45" s="84" t="s">
        <v>18</v>
      </c>
      <c r="F45" s="76"/>
      <c r="G45" s="79"/>
      <c r="H45" s="85" t="s">
        <v>12</v>
      </c>
      <c r="I45" s="81"/>
      <c r="J45" s="81"/>
      <c r="K45" s="82"/>
      <c r="L45" s="86">
        <f t="shared" ref="L45:N45" si="15">L48+L51</f>
        <v>0</v>
      </c>
      <c r="M45" s="86">
        <f t="shared" si="15"/>
        <v>0</v>
      </c>
      <c r="N45" s="86">
        <f t="shared" si="15"/>
        <v>0</v>
      </c>
      <c r="O45" s="86">
        <f t="shared" si="13"/>
        <v>0</v>
      </c>
      <c r="P45" s="86">
        <f t="shared" si="14"/>
        <v>0</v>
      </c>
    </row>
    <row r="46" spans="1:16" ht="18.75" x14ac:dyDescent="0.25">
      <c r="A46" s="75"/>
      <c r="B46" s="76"/>
      <c r="C46" s="76"/>
      <c r="D46" s="76"/>
      <c r="E46" s="87" t="s">
        <v>19</v>
      </c>
      <c r="F46" s="76"/>
      <c r="G46" s="79"/>
      <c r="H46" s="88" t="s">
        <v>12</v>
      </c>
      <c r="I46" s="81"/>
      <c r="J46" s="81"/>
      <c r="K46" s="82"/>
      <c r="L46" s="89">
        <f t="shared" ref="L46:N46" ca="1" si="16">L49+L52</f>
        <v>319029</v>
      </c>
      <c r="M46" s="89">
        <f t="shared" ca="1" si="16"/>
        <v>319029</v>
      </c>
      <c r="N46" s="89">
        <f t="shared" ca="1" si="16"/>
        <v>113429</v>
      </c>
      <c r="O46" s="89">
        <f t="shared" ca="1" si="13"/>
        <v>35.554448028235676</v>
      </c>
      <c r="P46" s="89">
        <f t="shared" ca="1" si="14"/>
        <v>35.554448028235676</v>
      </c>
    </row>
    <row r="47" spans="1:16" ht="18.75" x14ac:dyDescent="0.25">
      <c r="A47" s="40"/>
      <c r="B47" s="41"/>
      <c r="C47" s="41"/>
      <c r="D47" s="42" t="s">
        <v>20</v>
      </c>
      <c r="E47" s="41"/>
      <c r="F47" s="41"/>
      <c r="G47" s="43"/>
      <c r="H47" s="44" t="s">
        <v>12</v>
      </c>
      <c r="I47" s="45"/>
      <c r="J47" s="45"/>
      <c r="K47" s="46"/>
      <c r="L47" s="47">
        <f t="shared" ref="L47:N47" ca="1" si="17">L48+L49</f>
        <v>319029</v>
      </c>
      <c r="M47" s="47">
        <f t="shared" ca="1" si="17"/>
        <v>319029</v>
      </c>
      <c r="N47" s="47">
        <f t="shared" ca="1" si="17"/>
        <v>113429</v>
      </c>
      <c r="O47" s="47">
        <f t="shared" ca="1" si="13"/>
        <v>35.554448028235676</v>
      </c>
      <c r="P47" s="47">
        <f t="shared" ca="1" si="14"/>
        <v>35.554448028235676</v>
      </c>
    </row>
    <row r="48" spans="1:16" ht="18.75" hidden="1" x14ac:dyDescent="0.25">
      <c r="A48" s="40"/>
      <c r="B48" s="41"/>
      <c r="C48" s="41"/>
      <c r="D48" s="41"/>
      <c r="E48" s="48" t="s">
        <v>18</v>
      </c>
      <c r="F48" s="41"/>
      <c r="G48" s="43"/>
      <c r="H48" s="49" t="s">
        <v>12</v>
      </c>
      <c r="I48" s="45"/>
      <c r="J48" s="45"/>
      <c r="K48" s="46"/>
      <c r="L48" s="50">
        <v>0</v>
      </c>
      <c r="M48" s="50">
        <v>0</v>
      </c>
      <c r="N48" s="50">
        <v>0</v>
      </c>
      <c r="O48" s="50">
        <f t="shared" si="13"/>
        <v>0</v>
      </c>
      <c r="P48" s="50">
        <f t="shared" si="14"/>
        <v>0</v>
      </c>
    </row>
    <row r="49" spans="1:16" ht="18.75" x14ac:dyDescent="0.25">
      <c r="A49" s="40"/>
      <c r="B49" s="41"/>
      <c r="C49" s="41"/>
      <c r="D49" s="41"/>
      <c r="E49" s="51" t="s">
        <v>19</v>
      </c>
      <c r="F49" s="41"/>
      <c r="G49" s="43"/>
      <c r="H49" s="44" t="s">
        <v>12</v>
      </c>
      <c r="I49" s="45"/>
      <c r="J49" s="45"/>
      <c r="K49" s="46"/>
      <c r="L49" s="47">
        <f ca="1">IFERROR(__xludf.DUMMYFUNCTION("IMPORTRANGE(""https://docs.google.com/spreadsheets/d/1-uDff_7J0KD5mKrp0Vvzr7lt3OU09vwQwhkpOPPYv2Y/edit?usp=sharing"",""งบพรบ!P14"")"),319029)</f>
        <v>319029</v>
      </c>
      <c r="M49" s="47">
        <f ca="1">IFERROR(__xludf.DUMMYFUNCTION("IMPORTRANGE(""https://docs.google.com/spreadsheets/d/1-uDff_7J0KD5mKrp0Vvzr7lt3OU09vwQwhkpOPPYv2Y/edit?usp=sharing"",""งบพรบ!V14"")"),319029)</f>
        <v>319029</v>
      </c>
      <c r="N49" s="47">
        <f ca="1">IFERROR(__xludf.DUMMYFUNCTION("IMPORTRANGE(""https://docs.google.com/spreadsheets/d/1-uDff_7J0KD5mKrp0Vvzr7lt3OU09vwQwhkpOPPYv2Y/edit?usp=sharing"",""งบพรบ!Y14"")"),113429)</f>
        <v>113429</v>
      </c>
      <c r="O49" s="47">
        <f t="shared" ca="1" si="13"/>
        <v>35.554448028235676</v>
      </c>
      <c r="P49" s="47">
        <f t="shared" ca="1" si="14"/>
        <v>35.554448028235676</v>
      </c>
    </row>
    <row r="50" spans="1:16" ht="18.75" x14ac:dyDescent="0.25">
      <c r="A50" s="40"/>
      <c r="B50" s="41"/>
      <c r="C50" s="41"/>
      <c r="D50" s="42" t="s">
        <v>21</v>
      </c>
      <c r="E50" s="41"/>
      <c r="F50" s="41"/>
      <c r="G50" s="43"/>
      <c r="H50" s="44" t="s">
        <v>12</v>
      </c>
      <c r="I50" s="45"/>
      <c r="J50" s="45"/>
      <c r="K50" s="46"/>
      <c r="L50" s="47">
        <f t="shared" ref="L50:N50" ca="1" si="18">L51+L52</f>
        <v>0</v>
      </c>
      <c r="M50" s="47">
        <f t="shared" ca="1" si="18"/>
        <v>0</v>
      </c>
      <c r="N50" s="47">
        <f t="shared" ca="1" si="18"/>
        <v>0</v>
      </c>
      <c r="O50" s="47">
        <f t="shared" ca="1" si="13"/>
        <v>0</v>
      </c>
      <c r="P50" s="47">
        <f t="shared" ca="1" si="14"/>
        <v>0</v>
      </c>
    </row>
    <row r="51" spans="1:16" ht="18.75" hidden="1" x14ac:dyDescent="0.25">
      <c r="A51" s="40"/>
      <c r="B51" s="41"/>
      <c r="C51" s="41"/>
      <c r="D51" s="41"/>
      <c r="E51" s="48" t="s">
        <v>18</v>
      </c>
      <c r="F51" s="41"/>
      <c r="G51" s="43"/>
      <c r="H51" s="49" t="s">
        <v>12</v>
      </c>
      <c r="I51" s="45"/>
      <c r="J51" s="45"/>
      <c r="K51" s="46"/>
      <c r="L51" s="50">
        <v>0</v>
      </c>
      <c r="M51" s="50">
        <v>0</v>
      </c>
      <c r="N51" s="50">
        <v>0</v>
      </c>
      <c r="O51" s="50">
        <f t="shared" si="13"/>
        <v>0</v>
      </c>
      <c r="P51" s="50">
        <f t="shared" si="14"/>
        <v>0</v>
      </c>
    </row>
    <row r="52" spans="1:16" ht="18.75" x14ac:dyDescent="0.25">
      <c r="A52" s="40"/>
      <c r="B52" s="41"/>
      <c r="C52" s="41"/>
      <c r="D52" s="41"/>
      <c r="E52" s="51" t="s">
        <v>19</v>
      </c>
      <c r="F52" s="41"/>
      <c r="G52" s="43"/>
      <c r="H52" s="44" t="s">
        <v>12</v>
      </c>
      <c r="I52" s="45"/>
      <c r="J52" s="45"/>
      <c r="K52" s="46"/>
      <c r="L52" s="47">
        <f ca="1">IFERROR(__xludf.DUMMYFUNCTION("IMPORTRANGE(""https://docs.google.com/spreadsheets/d/1-uDff_7J0KD5mKrp0Vvzr7lt3OU09vwQwhkpOPPYv2Y/edit?usp=sharing"",""งบพรบ!S14"")"),0)</f>
        <v>0</v>
      </c>
      <c r="M52" s="47">
        <f ca="1">IFERROR(__xludf.DUMMYFUNCTION("IMPORTRANGE(""https://docs.google.com/spreadsheets/d/1-uDff_7J0KD5mKrp0Vvzr7lt3OU09vwQwhkpOPPYv2Y/edit?usp=sharing"",""งบพรบ!W14"")"),0)</f>
        <v>0</v>
      </c>
      <c r="N52" s="47">
        <f ca="1">IFERROR(__xludf.DUMMYFUNCTION("IMPORTRANGE(""https://docs.google.com/spreadsheets/d/1-uDff_7J0KD5mKrp0Vvzr7lt3OU09vwQwhkpOPPYv2Y/edit?usp=sharing"",""งบพรบ!Z14"")"),0)</f>
        <v>0</v>
      </c>
      <c r="O52" s="47">
        <f t="shared" ca="1" si="13"/>
        <v>0</v>
      </c>
      <c r="P52" s="47">
        <f t="shared" ca="1" si="14"/>
        <v>0</v>
      </c>
    </row>
    <row r="53" spans="1:16" ht="18.75" hidden="1" x14ac:dyDescent="0.25">
      <c r="A53" s="40"/>
      <c r="B53" s="41"/>
      <c r="C53" s="41"/>
      <c r="D53" s="42" t="s">
        <v>22</v>
      </c>
      <c r="E53" s="41"/>
      <c r="F53" s="41"/>
      <c r="G53" s="43"/>
      <c r="H53" s="44" t="s">
        <v>12</v>
      </c>
      <c r="I53" s="45"/>
      <c r="J53" s="45"/>
      <c r="K53" s="46"/>
      <c r="L53" s="47"/>
      <c r="M53" s="47"/>
      <c r="N53" s="47"/>
      <c r="O53" s="47"/>
      <c r="P53" s="47"/>
    </row>
    <row r="54" spans="1:16" ht="18.75" hidden="1" x14ac:dyDescent="0.25">
      <c r="A54" s="40"/>
      <c r="B54" s="41"/>
      <c r="C54" s="41"/>
      <c r="D54" s="41"/>
      <c r="E54" s="48" t="s">
        <v>18</v>
      </c>
      <c r="F54" s="41"/>
      <c r="G54" s="43"/>
      <c r="H54" s="49" t="s">
        <v>12</v>
      </c>
      <c r="I54" s="45"/>
      <c r="J54" s="45"/>
      <c r="K54" s="46"/>
      <c r="L54" s="50"/>
      <c r="M54" s="50"/>
      <c r="N54" s="50"/>
      <c r="O54" s="50"/>
      <c r="P54" s="50"/>
    </row>
    <row r="55" spans="1:16" ht="18.75" hidden="1" x14ac:dyDescent="0.25">
      <c r="A55" s="52"/>
      <c r="B55" s="1"/>
      <c r="C55" s="1"/>
      <c r="D55" s="1"/>
      <c r="E55" s="53" t="s">
        <v>19</v>
      </c>
      <c r="F55" s="1"/>
      <c r="G55" s="54"/>
      <c r="H55" s="55" t="s">
        <v>12</v>
      </c>
      <c r="I55" s="56"/>
      <c r="J55" s="56"/>
      <c r="K55" s="57"/>
      <c r="L55" s="58"/>
      <c r="M55" s="58"/>
      <c r="N55" s="58"/>
      <c r="O55" s="58"/>
      <c r="P55" s="58"/>
    </row>
    <row r="56" spans="1:16" ht="19.5" x14ac:dyDescent="0.3">
      <c r="A56" s="382" t="s">
        <v>26</v>
      </c>
      <c r="B56" s="379"/>
      <c r="C56" s="379"/>
      <c r="D56" s="379"/>
      <c r="E56" s="379"/>
      <c r="F56" s="379"/>
      <c r="G56" s="380"/>
      <c r="H56" s="90"/>
      <c r="I56" s="91"/>
      <c r="J56" s="91"/>
      <c r="K56" s="92"/>
      <c r="L56" s="92"/>
      <c r="M56" s="92"/>
      <c r="N56" s="92"/>
      <c r="O56" s="92"/>
      <c r="P56" s="93"/>
    </row>
    <row r="57" spans="1:16" ht="19.5" x14ac:dyDescent="0.3">
      <c r="A57" s="94"/>
      <c r="B57" s="383" t="s">
        <v>27</v>
      </c>
      <c r="C57" s="384"/>
      <c r="D57" s="384"/>
      <c r="E57" s="384"/>
      <c r="F57" s="384"/>
      <c r="G57" s="385"/>
      <c r="H57" s="95"/>
      <c r="I57" s="96"/>
      <c r="J57" s="96"/>
      <c r="K57" s="97"/>
      <c r="L57" s="97"/>
      <c r="M57" s="97"/>
      <c r="N57" s="97"/>
      <c r="O57" s="97"/>
      <c r="P57" s="97"/>
    </row>
    <row r="58" spans="1:16" ht="19.5" x14ac:dyDescent="0.3">
      <c r="A58" s="98"/>
      <c r="B58" s="99" t="s">
        <v>28</v>
      </c>
      <c r="C58" s="100"/>
      <c r="D58" s="100"/>
      <c r="E58" s="100"/>
      <c r="F58" s="100"/>
      <c r="G58" s="101"/>
      <c r="H58" s="101"/>
      <c r="I58" s="102"/>
      <c r="J58" s="102"/>
      <c r="K58" s="103"/>
      <c r="L58" s="103"/>
      <c r="M58" s="103"/>
      <c r="N58" s="103"/>
      <c r="O58" s="103"/>
      <c r="P58" s="103"/>
    </row>
    <row r="59" spans="1:16" ht="19.5" x14ac:dyDescent="0.3">
      <c r="A59" s="104"/>
      <c r="B59" s="105"/>
      <c r="C59" s="106" t="s">
        <v>16</v>
      </c>
      <c r="D59" s="107" t="s">
        <v>17</v>
      </c>
      <c r="E59" s="105"/>
      <c r="F59" s="105"/>
      <c r="G59" s="108"/>
      <c r="H59" s="109" t="s">
        <v>12</v>
      </c>
      <c r="I59" s="110"/>
      <c r="J59" s="110"/>
      <c r="K59" s="111"/>
      <c r="L59" s="112">
        <f t="shared" ref="L59:N59" ca="1" si="19">L60+L61</f>
        <v>569900</v>
      </c>
      <c r="M59" s="112">
        <f t="shared" ca="1" si="19"/>
        <v>429550</v>
      </c>
      <c r="N59" s="112">
        <f t="shared" ca="1" si="19"/>
        <v>278234.63</v>
      </c>
      <c r="O59" s="112">
        <f t="shared" ref="O59:O67" ca="1" si="20">IF(L59&gt;0,N59*100/L59,0)</f>
        <v>48.821658185646605</v>
      </c>
      <c r="P59" s="112">
        <f t="shared" ref="P59:P67" ca="1" si="21">IF(M59&gt;0,N59*100/M59,0)</f>
        <v>64.773514142707484</v>
      </c>
    </row>
    <row r="60" spans="1:16" ht="18.75" hidden="1" x14ac:dyDescent="0.25">
      <c r="A60" s="104"/>
      <c r="B60" s="105"/>
      <c r="C60" s="105"/>
      <c r="D60" s="105"/>
      <c r="E60" s="113" t="s">
        <v>18</v>
      </c>
      <c r="F60" s="105"/>
      <c r="G60" s="108"/>
      <c r="H60" s="114" t="s">
        <v>12</v>
      </c>
      <c r="I60" s="110"/>
      <c r="J60" s="110"/>
      <c r="K60" s="111"/>
      <c r="L60" s="115">
        <f t="shared" ref="L60:N60" si="22">L63+L66</f>
        <v>0</v>
      </c>
      <c r="M60" s="115">
        <f t="shared" si="22"/>
        <v>0</v>
      </c>
      <c r="N60" s="115">
        <f t="shared" si="22"/>
        <v>0</v>
      </c>
      <c r="O60" s="115">
        <f t="shared" si="20"/>
        <v>0</v>
      </c>
      <c r="P60" s="115">
        <f t="shared" si="21"/>
        <v>0</v>
      </c>
    </row>
    <row r="61" spans="1:16" ht="18.75" x14ac:dyDescent="0.25">
      <c r="A61" s="104"/>
      <c r="B61" s="105"/>
      <c r="C61" s="105"/>
      <c r="D61" s="105"/>
      <c r="E61" s="116" t="s">
        <v>19</v>
      </c>
      <c r="F61" s="105"/>
      <c r="G61" s="108"/>
      <c r="H61" s="117" t="s">
        <v>12</v>
      </c>
      <c r="I61" s="110"/>
      <c r="J61" s="110"/>
      <c r="K61" s="111"/>
      <c r="L61" s="118">
        <f t="shared" ref="L61:N61" ca="1" si="23">L64+L67</f>
        <v>569900</v>
      </c>
      <c r="M61" s="118">
        <f t="shared" ca="1" si="23"/>
        <v>429550</v>
      </c>
      <c r="N61" s="118">
        <f t="shared" ca="1" si="23"/>
        <v>278234.63</v>
      </c>
      <c r="O61" s="118">
        <f t="shared" ca="1" si="20"/>
        <v>48.821658185646605</v>
      </c>
      <c r="P61" s="118">
        <f t="shared" ca="1" si="21"/>
        <v>64.773514142707484</v>
      </c>
    </row>
    <row r="62" spans="1:16" ht="18.75" x14ac:dyDescent="0.25">
      <c r="A62" s="40"/>
      <c r="B62" s="41"/>
      <c r="C62" s="41"/>
      <c r="D62" s="42" t="s">
        <v>20</v>
      </c>
      <c r="E62" s="41"/>
      <c r="F62" s="41"/>
      <c r="G62" s="43"/>
      <c r="H62" s="44" t="s">
        <v>12</v>
      </c>
      <c r="I62" s="45"/>
      <c r="J62" s="45"/>
      <c r="K62" s="46"/>
      <c r="L62" s="47">
        <f t="shared" ref="L62:N62" ca="1" si="24">L63+L64</f>
        <v>569900</v>
      </c>
      <c r="M62" s="47">
        <f t="shared" ca="1" si="24"/>
        <v>429550</v>
      </c>
      <c r="N62" s="47">
        <f t="shared" ca="1" si="24"/>
        <v>278234.63</v>
      </c>
      <c r="O62" s="47">
        <f t="shared" ca="1" si="20"/>
        <v>48.821658185646605</v>
      </c>
      <c r="P62" s="47">
        <f t="shared" ca="1" si="21"/>
        <v>64.773514142707484</v>
      </c>
    </row>
    <row r="63" spans="1:16" ht="18.75" hidden="1" x14ac:dyDescent="0.25">
      <c r="A63" s="40"/>
      <c r="B63" s="41"/>
      <c r="C63" s="41"/>
      <c r="D63" s="41"/>
      <c r="E63" s="48" t="s">
        <v>18</v>
      </c>
      <c r="F63" s="41"/>
      <c r="G63" s="43"/>
      <c r="H63" s="49" t="s">
        <v>12</v>
      </c>
      <c r="I63" s="45"/>
      <c r="J63" s="45"/>
      <c r="K63" s="46"/>
      <c r="L63" s="50">
        <v>0</v>
      </c>
      <c r="M63" s="50">
        <v>0</v>
      </c>
      <c r="N63" s="50">
        <v>0</v>
      </c>
      <c r="O63" s="50">
        <f t="shared" si="20"/>
        <v>0</v>
      </c>
      <c r="P63" s="50">
        <f t="shared" si="21"/>
        <v>0</v>
      </c>
    </row>
    <row r="64" spans="1:16" ht="18.75" x14ac:dyDescent="0.25">
      <c r="A64" s="40"/>
      <c r="B64" s="41"/>
      <c r="C64" s="41"/>
      <c r="D64" s="41"/>
      <c r="E64" s="51" t="s">
        <v>19</v>
      </c>
      <c r="F64" s="41"/>
      <c r="G64" s="43"/>
      <c r="H64" s="44" t="s">
        <v>12</v>
      </c>
      <c r="I64" s="45"/>
      <c r="J64" s="45"/>
      <c r="K64" s="46"/>
      <c r="L64" s="47">
        <f ca="1">IFERROR(__xludf.DUMMYFUNCTION("IMPORTRANGE(""https://docs.google.com/spreadsheets/d/1-uDff_7J0KD5mKrp0Vvzr7lt3OU09vwQwhkpOPPYv2Y/edit?usp=sharing"",""งบพรบ!AC14"")"),569900)</f>
        <v>569900</v>
      </c>
      <c r="M64" s="47">
        <f ca="1">IFERROR(__xludf.DUMMYFUNCTION("IMPORTRANGE(""https://docs.google.com/spreadsheets/d/1-uDff_7J0KD5mKrp0Vvzr7lt3OU09vwQwhkpOPPYv2Y/edit?usp=sharing"",""งบพรบ!AH14"")"),429550)</f>
        <v>429550</v>
      </c>
      <c r="N64" s="47">
        <f ca="1">IFERROR(__xludf.DUMMYFUNCTION("IMPORTRANGE(""https://docs.google.com/spreadsheets/d/1-uDff_7J0KD5mKrp0Vvzr7lt3OU09vwQwhkpOPPYv2Y/edit?usp=sharing"",""งบพรบ!AJ14"")"),278234.63)</f>
        <v>278234.63</v>
      </c>
      <c r="O64" s="47">
        <f t="shared" ca="1" si="20"/>
        <v>48.821658185646605</v>
      </c>
      <c r="P64" s="47">
        <f t="shared" ca="1" si="21"/>
        <v>64.773514142707484</v>
      </c>
    </row>
    <row r="65" spans="1:16" ht="18.75" x14ac:dyDescent="0.25">
      <c r="A65" s="40"/>
      <c r="B65" s="41"/>
      <c r="C65" s="41"/>
      <c r="D65" s="42" t="s">
        <v>21</v>
      </c>
      <c r="E65" s="41"/>
      <c r="F65" s="41"/>
      <c r="G65" s="43"/>
      <c r="H65" s="44" t="s">
        <v>12</v>
      </c>
      <c r="I65" s="45"/>
      <c r="J65" s="45"/>
      <c r="K65" s="46"/>
      <c r="L65" s="47">
        <f t="shared" ref="L65:N65" ca="1" si="25">L66+L67</f>
        <v>0</v>
      </c>
      <c r="M65" s="47">
        <f t="shared" ca="1" si="25"/>
        <v>0</v>
      </c>
      <c r="N65" s="47">
        <f t="shared" ca="1" si="25"/>
        <v>0</v>
      </c>
      <c r="O65" s="47">
        <f t="shared" ca="1" si="20"/>
        <v>0</v>
      </c>
      <c r="P65" s="47">
        <f t="shared" ca="1" si="21"/>
        <v>0</v>
      </c>
    </row>
    <row r="66" spans="1:16" ht="18.75" hidden="1" x14ac:dyDescent="0.25">
      <c r="A66" s="40"/>
      <c r="B66" s="41"/>
      <c r="C66" s="41"/>
      <c r="D66" s="41"/>
      <c r="E66" s="48" t="s">
        <v>18</v>
      </c>
      <c r="F66" s="41"/>
      <c r="G66" s="43"/>
      <c r="H66" s="49" t="s">
        <v>12</v>
      </c>
      <c r="I66" s="45"/>
      <c r="J66" s="45"/>
      <c r="K66" s="46"/>
      <c r="L66" s="50">
        <v>0</v>
      </c>
      <c r="M66" s="50">
        <v>0</v>
      </c>
      <c r="N66" s="50">
        <v>0</v>
      </c>
      <c r="O66" s="50">
        <f t="shared" si="20"/>
        <v>0</v>
      </c>
      <c r="P66" s="50">
        <f t="shared" si="21"/>
        <v>0</v>
      </c>
    </row>
    <row r="67" spans="1:16" ht="18.75" x14ac:dyDescent="0.25">
      <c r="A67" s="52"/>
      <c r="B67" s="1"/>
      <c r="C67" s="1"/>
      <c r="D67" s="1"/>
      <c r="E67" s="53" t="s">
        <v>19</v>
      </c>
      <c r="F67" s="1"/>
      <c r="G67" s="54"/>
      <c r="H67" s="55" t="s">
        <v>12</v>
      </c>
      <c r="I67" s="56"/>
      <c r="J67" s="56"/>
      <c r="K67" s="57"/>
      <c r="L67" s="58">
        <f ca="1">IFERROR(__xludf.DUMMYFUNCTION("IMPORTRANGE(""https://docs.google.com/spreadsheets/d/1-uDff_7J0KD5mKrp0Vvzr7lt3OU09vwQwhkpOPPYv2Y/edit?usp=sharing"",""งบพรบ!AF14"")"),0)</f>
        <v>0</v>
      </c>
      <c r="M67" s="58">
        <f ca="1">IFERROR(__xludf.DUMMYFUNCTION("IMPORTRANGE(""https://docs.google.com/spreadsheets/d/1-uDff_7J0KD5mKrp0Vvzr7lt3OU09vwQwhkpOPPYv2Y/edit?usp=sharing"",""งบพรบ!AI14"")"),0)</f>
        <v>0</v>
      </c>
      <c r="N67" s="58">
        <f ca="1">IFERROR(__xludf.DUMMYFUNCTION("IMPORTRANGE(""https://docs.google.com/spreadsheets/d/1-uDff_7J0KD5mKrp0Vvzr7lt3OU09vwQwhkpOPPYv2Y/edit?usp=sharing"",""งบพรบ!AK14"")"),0)</f>
        <v>0</v>
      </c>
      <c r="O67" s="58">
        <f t="shared" ca="1" si="20"/>
        <v>0</v>
      </c>
      <c r="P67" s="58">
        <f t="shared" ca="1" si="21"/>
        <v>0</v>
      </c>
    </row>
    <row r="68" spans="1:16" ht="19.5" hidden="1" x14ac:dyDescent="0.3">
      <c r="A68" s="119" t="s">
        <v>29</v>
      </c>
      <c r="B68" s="120"/>
      <c r="C68" s="120"/>
      <c r="D68" s="120"/>
      <c r="E68" s="121"/>
      <c r="F68" s="121"/>
      <c r="G68" s="121"/>
      <c r="H68" s="121"/>
      <c r="I68" s="122"/>
      <c r="J68" s="122"/>
      <c r="K68" s="123"/>
      <c r="L68" s="123"/>
      <c r="M68" s="123"/>
      <c r="N68" s="123"/>
      <c r="O68" s="123"/>
      <c r="P68" s="124"/>
    </row>
    <row r="69" spans="1:16" ht="19.5" hidden="1" x14ac:dyDescent="0.3">
      <c r="A69" s="125" t="s">
        <v>30</v>
      </c>
      <c r="B69" s="126"/>
      <c r="C69" s="127"/>
      <c r="D69" s="126"/>
      <c r="E69" s="126"/>
      <c r="F69" s="126"/>
      <c r="G69" s="128"/>
      <c r="H69" s="128"/>
      <c r="I69" s="129"/>
      <c r="J69" s="129"/>
      <c r="K69" s="130"/>
      <c r="L69" s="130"/>
      <c r="M69" s="130"/>
      <c r="N69" s="130"/>
      <c r="O69" s="130"/>
      <c r="P69" s="130"/>
    </row>
    <row r="70" spans="1:16" ht="19.5" hidden="1" x14ac:dyDescent="0.3">
      <c r="A70" s="131"/>
      <c r="B70" s="132" t="s">
        <v>31</v>
      </c>
      <c r="C70" s="26"/>
      <c r="D70" s="133"/>
      <c r="E70" s="26"/>
      <c r="F70" s="26"/>
      <c r="G70" s="29"/>
      <c r="H70" s="134" t="s">
        <v>32</v>
      </c>
      <c r="I70" s="135">
        <f t="shared" ref="I70:J70" ca="1" si="26">I82</f>
        <v>0</v>
      </c>
      <c r="J70" s="135">
        <f t="shared" si="26"/>
        <v>0</v>
      </c>
      <c r="K70" s="33">
        <f t="shared" ref="K70:K71" ca="1" si="27">IF(I70&gt;0,J70*100/I70,0)</f>
        <v>0</v>
      </c>
      <c r="L70" s="32"/>
      <c r="M70" s="32"/>
      <c r="N70" s="32"/>
      <c r="O70" s="32"/>
      <c r="P70" s="32"/>
    </row>
    <row r="71" spans="1:16" ht="19.5" hidden="1" x14ac:dyDescent="0.3">
      <c r="A71" s="131"/>
      <c r="B71" s="26"/>
      <c r="C71" s="26"/>
      <c r="D71" s="133"/>
      <c r="E71" s="26"/>
      <c r="F71" s="26"/>
      <c r="G71" s="29"/>
      <c r="H71" s="134" t="s">
        <v>33</v>
      </c>
      <c r="I71" s="135">
        <f t="shared" ref="I71:J71" ca="1" si="28">I83</f>
        <v>0</v>
      </c>
      <c r="J71" s="135">
        <f t="shared" si="28"/>
        <v>0</v>
      </c>
      <c r="K71" s="33">
        <f t="shared" ca="1" si="27"/>
        <v>0</v>
      </c>
      <c r="L71" s="32"/>
      <c r="M71" s="32"/>
      <c r="N71" s="32"/>
      <c r="O71" s="32"/>
      <c r="P71" s="32"/>
    </row>
    <row r="72" spans="1:16" ht="19.5" hidden="1" x14ac:dyDescent="0.3">
      <c r="A72" s="136"/>
      <c r="B72" s="41"/>
      <c r="C72" s="137" t="s">
        <v>16</v>
      </c>
      <c r="D72" s="138" t="s">
        <v>17</v>
      </c>
      <c r="E72" s="41"/>
      <c r="F72" s="41"/>
      <c r="G72" s="43"/>
      <c r="H72" s="139" t="s">
        <v>12</v>
      </c>
      <c r="I72" s="45"/>
      <c r="J72" s="45"/>
      <c r="K72" s="46"/>
      <c r="L72" s="140">
        <f t="shared" ref="L72:N72" ca="1" si="29">L73+L74</f>
        <v>0</v>
      </c>
      <c r="M72" s="140">
        <f t="shared" ca="1" si="29"/>
        <v>0</v>
      </c>
      <c r="N72" s="140">
        <f t="shared" ca="1" si="29"/>
        <v>0</v>
      </c>
      <c r="O72" s="140">
        <f t="shared" ref="O72:O80" ca="1" si="30">IF(L72&gt;0,N72*100/L72,0)</f>
        <v>0</v>
      </c>
      <c r="P72" s="140">
        <f t="shared" ref="P72:P80" ca="1" si="31">IF(M72&gt;0,N72*100/M72,0)</f>
        <v>0</v>
      </c>
    </row>
    <row r="73" spans="1:16" ht="18.75" hidden="1" x14ac:dyDescent="0.25">
      <c r="A73" s="136"/>
      <c r="B73" s="41"/>
      <c r="C73" s="41"/>
      <c r="D73" s="41"/>
      <c r="E73" s="48" t="s">
        <v>18</v>
      </c>
      <c r="F73" s="41"/>
      <c r="G73" s="43"/>
      <c r="H73" s="141" t="s">
        <v>12</v>
      </c>
      <c r="I73" s="45"/>
      <c r="J73" s="45"/>
      <c r="K73" s="46"/>
      <c r="L73" s="50">
        <f t="shared" ref="L73:N73" si="32">L76+L79</f>
        <v>0</v>
      </c>
      <c r="M73" s="50">
        <f t="shared" si="32"/>
        <v>0</v>
      </c>
      <c r="N73" s="50">
        <f t="shared" si="32"/>
        <v>0</v>
      </c>
      <c r="O73" s="50">
        <f t="shared" si="30"/>
        <v>0</v>
      </c>
      <c r="P73" s="50">
        <f t="shared" si="31"/>
        <v>0</v>
      </c>
    </row>
    <row r="74" spans="1:16" ht="18.75" hidden="1" x14ac:dyDescent="0.25">
      <c r="A74" s="136"/>
      <c r="B74" s="41"/>
      <c r="C74" s="41"/>
      <c r="D74" s="41"/>
      <c r="E74" s="51" t="s">
        <v>19</v>
      </c>
      <c r="F74" s="41"/>
      <c r="G74" s="43"/>
      <c r="H74" s="142" t="s">
        <v>12</v>
      </c>
      <c r="I74" s="45"/>
      <c r="J74" s="45"/>
      <c r="K74" s="46"/>
      <c r="L74" s="47">
        <f t="shared" ref="L74:N74" ca="1" si="33">L77+L80</f>
        <v>0</v>
      </c>
      <c r="M74" s="47">
        <f t="shared" ca="1" si="33"/>
        <v>0</v>
      </c>
      <c r="N74" s="47">
        <f t="shared" ca="1" si="33"/>
        <v>0</v>
      </c>
      <c r="O74" s="47">
        <f t="shared" ca="1" si="30"/>
        <v>0</v>
      </c>
      <c r="P74" s="47">
        <f t="shared" ca="1" si="31"/>
        <v>0</v>
      </c>
    </row>
    <row r="75" spans="1:16" ht="18.75" hidden="1" x14ac:dyDescent="0.25">
      <c r="A75" s="136"/>
      <c r="B75" s="41"/>
      <c r="C75" s="41"/>
      <c r="D75" s="42" t="s">
        <v>20</v>
      </c>
      <c r="E75" s="41"/>
      <c r="F75" s="41"/>
      <c r="G75" s="43"/>
      <c r="H75" s="143" t="s">
        <v>12</v>
      </c>
      <c r="I75" s="144"/>
      <c r="J75" s="144"/>
      <c r="K75" s="145"/>
      <c r="L75" s="47">
        <f t="shared" ref="L75:N75" ca="1" si="34">L76+L77</f>
        <v>0</v>
      </c>
      <c r="M75" s="47">
        <f t="shared" ca="1" si="34"/>
        <v>0</v>
      </c>
      <c r="N75" s="47">
        <f t="shared" ca="1" si="34"/>
        <v>0</v>
      </c>
      <c r="O75" s="47">
        <f t="shared" ca="1" si="30"/>
        <v>0</v>
      </c>
      <c r="P75" s="47">
        <f t="shared" ca="1" si="31"/>
        <v>0</v>
      </c>
    </row>
    <row r="76" spans="1:16" ht="18.75" hidden="1" x14ac:dyDescent="0.25">
      <c r="A76" s="136"/>
      <c r="B76" s="41"/>
      <c r="C76" s="41"/>
      <c r="D76" s="41"/>
      <c r="E76" s="48" t="s">
        <v>34</v>
      </c>
      <c r="F76" s="41"/>
      <c r="G76" s="43"/>
      <c r="H76" s="146" t="s">
        <v>12</v>
      </c>
      <c r="I76" s="144"/>
      <c r="J76" s="144"/>
      <c r="K76" s="145"/>
      <c r="L76" s="50">
        <v>0</v>
      </c>
      <c r="M76" s="50">
        <v>0</v>
      </c>
      <c r="N76" s="50">
        <v>0</v>
      </c>
      <c r="O76" s="50">
        <f t="shared" si="30"/>
        <v>0</v>
      </c>
      <c r="P76" s="50">
        <f t="shared" si="31"/>
        <v>0</v>
      </c>
    </row>
    <row r="77" spans="1:16" ht="18.75" hidden="1" x14ac:dyDescent="0.25">
      <c r="A77" s="136"/>
      <c r="B77" s="41"/>
      <c r="C77" s="41"/>
      <c r="D77" s="41"/>
      <c r="E77" s="51" t="s">
        <v>35</v>
      </c>
      <c r="F77" s="41"/>
      <c r="G77" s="43"/>
      <c r="H77" s="143" t="s">
        <v>12</v>
      </c>
      <c r="I77" s="144"/>
      <c r="J77" s="144"/>
      <c r="K77" s="145"/>
      <c r="L77" s="47">
        <f ca="1">IFERROR(__xludf.DUMMYFUNCTION("IMPORTRANGE(""https://docs.google.com/spreadsheets/d/1-uDff_7J0KD5mKrp0Vvzr7lt3OU09vwQwhkpOPPYv2Y/edit?usp=sharing"",""งบพรบ!AM14"")"),0)</f>
        <v>0</v>
      </c>
      <c r="M77" s="47">
        <f ca="1">IFERROR(__xludf.DUMMYFUNCTION("IMPORTRANGE(""https://docs.google.com/spreadsheets/d/1-uDff_7J0KD5mKrp0Vvzr7lt3OU09vwQwhkpOPPYv2Y/edit?usp=sharing"",""งบพรบ!AR14"")"),0)</f>
        <v>0</v>
      </c>
      <c r="N77" s="47">
        <f ca="1">IFERROR(__xludf.DUMMYFUNCTION("IMPORTRANGE(""https://docs.google.com/spreadsheets/d/1-uDff_7J0KD5mKrp0Vvzr7lt3OU09vwQwhkpOPPYv2Y/edit?usp=sharing"",""งบพรบ!AT14"")"),0)</f>
        <v>0</v>
      </c>
      <c r="O77" s="47">
        <f t="shared" ca="1" si="30"/>
        <v>0</v>
      </c>
      <c r="P77" s="47">
        <f t="shared" ca="1" si="31"/>
        <v>0</v>
      </c>
    </row>
    <row r="78" spans="1:16" ht="18.75" hidden="1" x14ac:dyDescent="0.25">
      <c r="A78" s="136"/>
      <c r="B78" s="41"/>
      <c r="C78" s="41"/>
      <c r="D78" s="42" t="s">
        <v>21</v>
      </c>
      <c r="E78" s="41"/>
      <c r="F78" s="41"/>
      <c r="G78" s="43"/>
      <c r="H78" s="147" t="s">
        <v>12</v>
      </c>
      <c r="I78" s="144"/>
      <c r="J78" s="144"/>
      <c r="K78" s="145"/>
      <c r="L78" s="47">
        <f t="shared" ref="L78:N78" ca="1" si="35">L79+L80</f>
        <v>0</v>
      </c>
      <c r="M78" s="47">
        <f t="shared" ca="1" si="35"/>
        <v>0</v>
      </c>
      <c r="N78" s="47">
        <f t="shared" ca="1" si="35"/>
        <v>0</v>
      </c>
      <c r="O78" s="47">
        <f t="shared" ca="1" si="30"/>
        <v>0</v>
      </c>
      <c r="P78" s="47">
        <f t="shared" ca="1" si="31"/>
        <v>0</v>
      </c>
    </row>
    <row r="79" spans="1:16" ht="18.75" hidden="1" x14ac:dyDescent="0.25">
      <c r="A79" s="136"/>
      <c r="B79" s="41"/>
      <c r="C79" s="41"/>
      <c r="D79" s="41"/>
      <c r="E79" s="48" t="s">
        <v>18</v>
      </c>
      <c r="F79" s="41"/>
      <c r="G79" s="43"/>
      <c r="H79" s="146" t="s">
        <v>12</v>
      </c>
      <c r="I79" s="144"/>
      <c r="J79" s="144"/>
      <c r="K79" s="145"/>
      <c r="L79" s="50">
        <v>0</v>
      </c>
      <c r="M79" s="46"/>
      <c r="N79" s="46"/>
      <c r="O79" s="50">
        <f t="shared" si="30"/>
        <v>0</v>
      </c>
      <c r="P79" s="50">
        <f t="shared" si="31"/>
        <v>0</v>
      </c>
    </row>
    <row r="80" spans="1:16" ht="18.75" hidden="1" x14ac:dyDescent="0.25">
      <c r="A80" s="136"/>
      <c r="B80" s="41"/>
      <c r="C80" s="41"/>
      <c r="D80" s="41"/>
      <c r="E80" s="51" t="s">
        <v>19</v>
      </c>
      <c r="F80" s="41"/>
      <c r="G80" s="43"/>
      <c r="H80" s="147" t="s">
        <v>12</v>
      </c>
      <c r="I80" s="144"/>
      <c r="J80" s="144"/>
      <c r="K80" s="145"/>
      <c r="L80" s="47">
        <f ca="1">IFERROR(__xludf.DUMMYFUNCTION("IMPORTRANGE(""https://docs.google.com/spreadsheets/d/1-uDff_7J0KD5mKrp0Vvzr7lt3OU09vwQwhkpOPPYv2Y/edit?usp=sharing"",""งบพรบ!AP14"")"),0)</f>
        <v>0</v>
      </c>
      <c r="M80" s="47">
        <f ca="1">IFERROR(__xludf.DUMMYFUNCTION("IMPORTRANGE(""https://docs.google.com/spreadsheets/d/1-uDff_7J0KD5mKrp0Vvzr7lt3OU09vwQwhkpOPPYv2Y/edit?usp=sharing"",""งบพรบ!AS14"")"),0)</f>
        <v>0</v>
      </c>
      <c r="N80" s="47">
        <f ca="1">IFERROR(__xludf.DUMMYFUNCTION("IMPORTRANGE(""https://docs.google.com/spreadsheets/d/1-uDff_7J0KD5mKrp0Vvzr7lt3OU09vwQwhkpOPPYv2Y/edit?usp=sharing"",""งบพรบ!AU14"")"),0)</f>
        <v>0</v>
      </c>
      <c r="O80" s="47">
        <f t="shared" ca="1" si="30"/>
        <v>0</v>
      </c>
      <c r="P80" s="47">
        <f t="shared" ca="1" si="31"/>
        <v>0</v>
      </c>
    </row>
    <row r="81" spans="1:16" ht="19.5" hidden="1" x14ac:dyDescent="0.3">
      <c r="A81" s="148"/>
      <c r="B81" s="149"/>
      <c r="C81" s="137" t="s">
        <v>16</v>
      </c>
      <c r="D81" s="150" t="s">
        <v>36</v>
      </c>
      <c r="E81" s="151"/>
      <c r="F81" s="151"/>
      <c r="G81" s="152"/>
      <c r="H81" s="153"/>
      <c r="I81" s="144"/>
      <c r="J81" s="144"/>
      <c r="K81" s="145"/>
      <c r="L81" s="145"/>
      <c r="M81" s="145"/>
      <c r="N81" s="145"/>
      <c r="O81" s="145"/>
      <c r="P81" s="145"/>
    </row>
    <row r="82" spans="1:16" ht="19.5" hidden="1" x14ac:dyDescent="0.3">
      <c r="A82" s="148"/>
      <c r="B82" s="149"/>
      <c r="C82" s="149"/>
      <c r="D82" s="154" t="s">
        <v>37</v>
      </c>
      <c r="E82" s="155"/>
      <c r="F82" s="155"/>
      <c r="G82" s="153"/>
      <c r="H82" s="156" t="s">
        <v>32</v>
      </c>
      <c r="I82" s="157">
        <f t="shared" ref="I82:J82" ca="1" si="36">I84+I86+I88</f>
        <v>0</v>
      </c>
      <c r="J82" s="157">
        <f t="shared" si="36"/>
        <v>0</v>
      </c>
      <c r="K82" s="158">
        <f t="shared" ref="K82:K90" ca="1" si="37">IF(I82&gt;0,J82*100/I82,0)</f>
        <v>0</v>
      </c>
      <c r="L82" s="145"/>
      <c r="M82" s="145"/>
      <c r="N82" s="145"/>
      <c r="O82" s="145"/>
      <c r="P82" s="145"/>
    </row>
    <row r="83" spans="1:16" ht="19.5" hidden="1" x14ac:dyDescent="0.3">
      <c r="A83" s="148"/>
      <c r="B83" s="149"/>
      <c r="C83" s="149"/>
      <c r="D83" s="149"/>
      <c r="E83" s="155"/>
      <c r="F83" s="155"/>
      <c r="G83" s="153"/>
      <c r="H83" s="156" t="s">
        <v>33</v>
      </c>
      <c r="I83" s="157">
        <f t="shared" ref="I83:J83" ca="1" si="38">I85+I87+I89</f>
        <v>0</v>
      </c>
      <c r="J83" s="157">
        <f t="shared" si="38"/>
        <v>0</v>
      </c>
      <c r="K83" s="158">
        <f t="shared" ca="1" si="37"/>
        <v>0</v>
      </c>
      <c r="L83" s="145"/>
      <c r="M83" s="145"/>
      <c r="N83" s="145"/>
      <c r="O83" s="145"/>
      <c r="P83" s="145"/>
    </row>
    <row r="84" spans="1:16" ht="18.75" hidden="1" x14ac:dyDescent="0.25">
      <c r="A84" s="148"/>
      <c r="B84" s="149"/>
      <c r="C84" s="149"/>
      <c r="D84" s="149"/>
      <c r="E84" s="159" t="s">
        <v>38</v>
      </c>
      <c r="F84" s="155"/>
      <c r="G84" s="153"/>
      <c r="H84" s="160" t="s">
        <v>32</v>
      </c>
      <c r="I84" s="161">
        <f ca="1">IFERROR(__xludf.DUMMYFUNCTION("IMPORTRANGE(""https://docs.google.com/spreadsheets/d/1eHaY18a8A9IcSdp1K8H6x8fbOy06t2VsZHhMHf-1x7Y/edit?usp=sharing"",""แผน!H14"")"),0)</f>
        <v>0</v>
      </c>
      <c r="J84" s="162">
        <v>0</v>
      </c>
      <c r="K84" s="163">
        <f t="shared" ca="1" si="37"/>
        <v>0</v>
      </c>
      <c r="L84" s="145"/>
      <c r="M84" s="145"/>
      <c r="N84" s="145"/>
      <c r="O84" s="145"/>
      <c r="P84" s="145"/>
    </row>
    <row r="85" spans="1:16" ht="18.75" hidden="1" x14ac:dyDescent="0.25">
      <c r="A85" s="148"/>
      <c r="B85" s="149"/>
      <c r="C85" s="149"/>
      <c r="D85" s="149"/>
      <c r="E85" s="155"/>
      <c r="F85" s="155"/>
      <c r="G85" s="153"/>
      <c r="H85" s="160" t="s">
        <v>33</v>
      </c>
      <c r="I85" s="161">
        <f ca="1">IFERROR(__xludf.DUMMYFUNCTION("IMPORTRANGE(""https://docs.google.com/spreadsheets/d/1eHaY18a8A9IcSdp1K8H6x8fbOy06t2VsZHhMHf-1x7Y/edit?usp=sharing"",""แผน!I14"")"),0)</f>
        <v>0</v>
      </c>
      <c r="J85" s="162">
        <v>0</v>
      </c>
      <c r="K85" s="163">
        <f t="shared" ca="1" si="37"/>
        <v>0</v>
      </c>
      <c r="L85" s="145"/>
      <c r="M85" s="145"/>
      <c r="N85" s="145"/>
      <c r="O85" s="145"/>
      <c r="P85" s="145"/>
    </row>
    <row r="86" spans="1:16" ht="18.75" hidden="1" x14ac:dyDescent="0.25">
      <c r="A86" s="148"/>
      <c r="B86" s="149"/>
      <c r="C86" s="149"/>
      <c r="D86" s="149"/>
      <c r="E86" s="159" t="s">
        <v>39</v>
      </c>
      <c r="F86" s="155"/>
      <c r="G86" s="153"/>
      <c r="H86" s="160" t="s">
        <v>32</v>
      </c>
      <c r="I86" s="161">
        <f ca="1">IFERROR(__xludf.DUMMYFUNCTION("IMPORTRANGE(""https://docs.google.com/spreadsheets/d/1eHaY18a8A9IcSdp1K8H6x8fbOy06t2VsZHhMHf-1x7Y/edit?usp=sharing"",""แผน!F14"")"),0)</f>
        <v>0</v>
      </c>
      <c r="J86" s="162">
        <v>0</v>
      </c>
      <c r="K86" s="163">
        <f t="shared" ca="1" si="37"/>
        <v>0</v>
      </c>
      <c r="L86" s="145"/>
      <c r="M86" s="145"/>
      <c r="N86" s="145"/>
      <c r="O86" s="145"/>
      <c r="P86" s="145"/>
    </row>
    <row r="87" spans="1:16" ht="18.75" hidden="1" x14ac:dyDescent="0.25">
      <c r="A87" s="148"/>
      <c r="B87" s="149"/>
      <c r="C87" s="149"/>
      <c r="D87" s="149"/>
      <c r="E87" s="155"/>
      <c r="F87" s="155"/>
      <c r="G87" s="153"/>
      <c r="H87" s="160" t="s">
        <v>33</v>
      </c>
      <c r="I87" s="161">
        <f ca="1">IFERROR(__xludf.DUMMYFUNCTION("IMPORTRANGE(""https://docs.google.com/spreadsheets/d/1eHaY18a8A9IcSdp1K8H6x8fbOy06t2VsZHhMHf-1x7Y/edit?usp=sharing"",""แผน!G14"")"),0)</f>
        <v>0</v>
      </c>
      <c r="J87" s="162">
        <v>0</v>
      </c>
      <c r="K87" s="163">
        <f t="shared" ca="1" si="37"/>
        <v>0</v>
      </c>
      <c r="L87" s="145"/>
      <c r="M87" s="145"/>
      <c r="N87" s="145"/>
      <c r="O87" s="145"/>
      <c r="P87" s="145"/>
    </row>
    <row r="88" spans="1:16" ht="18.75" hidden="1" x14ac:dyDescent="0.25">
      <c r="A88" s="148"/>
      <c r="B88" s="149"/>
      <c r="C88" s="149"/>
      <c r="D88" s="149"/>
      <c r="E88" s="159" t="s">
        <v>40</v>
      </c>
      <c r="F88" s="155"/>
      <c r="G88" s="153"/>
      <c r="H88" s="160" t="s">
        <v>32</v>
      </c>
      <c r="I88" s="161">
        <f ca="1">IFERROR(__xludf.DUMMYFUNCTION("IMPORTRANGE(""https://docs.google.com/spreadsheets/d/1eHaY18a8A9IcSdp1K8H6x8fbOy06t2VsZHhMHf-1x7Y/edit?usp=sharing"",""แผน!D14"")"),0)</f>
        <v>0</v>
      </c>
      <c r="J88" s="162">
        <v>0</v>
      </c>
      <c r="K88" s="163">
        <f t="shared" ca="1" si="37"/>
        <v>0</v>
      </c>
      <c r="L88" s="145"/>
      <c r="M88" s="145"/>
      <c r="N88" s="145"/>
      <c r="O88" s="145"/>
      <c r="P88" s="145"/>
    </row>
    <row r="89" spans="1:16" ht="18.75" hidden="1" x14ac:dyDescent="0.25">
      <c r="A89" s="148"/>
      <c r="B89" s="149"/>
      <c r="C89" s="149"/>
      <c r="D89" s="149"/>
      <c r="E89" s="155"/>
      <c r="F89" s="155"/>
      <c r="G89" s="153"/>
      <c r="H89" s="160" t="s">
        <v>33</v>
      </c>
      <c r="I89" s="161">
        <f ca="1">IFERROR(__xludf.DUMMYFUNCTION("IMPORTRANGE(""https://docs.google.com/spreadsheets/d/1eHaY18a8A9IcSdp1K8H6x8fbOy06t2VsZHhMHf-1x7Y/edit?usp=sharing"",""แผน!E14"")"),0)</f>
        <v>0</v>
      </c>
      <c r="J89" s="162">
        <v>0</v>
      </c>
      <c r="K89" s="163">
        <f t="shared" ca="1" si="37"/>
        <v>0</v>
      </c>
      <c r="L89" s="145"/>
      <c r="M89" s="145"/>
      <c r="N89" s="145"/>
      <c r="O89" s="145"/>
      <c r="P89" s="145"/>
    </row>
    <row r="90" spans="1:16" ht="18.75" hidden="1" x14ac:dyDescent="0.25">
      <c r="A90" s="148"/>
      <c r="B90" s="149"/>
      <c r="C90" s="149"/>
      <c r="D90" s="154" t="s">
        <v>41</v>
      </c>
      <c r="E90" s="155"/>
      <c r="F90" s="155"/>
      <c r="G90" s="153"/>
      <c r="H90" s="164" t="s">
        <v>32</v>
      </c>
      <c r="I90" s="161">
        <f ca="1">IFERROR(__xludf.DUMMYFUNCTION("IMPORTRANGE(""https://docs.google.com/spreadsheets/d/1eHaY18a8A9IcSdp1K8H6x8fbOy06t2VsZHhMHf-1x7Y/edit?usp=sharing"",""แผน!J14"")"),0)</f>
        <v>0</v>
      </c>
      <c r="J90" s="162">
        <v>0</v>
      </c>
      <c r="K90" s="163">
        <f t="shared" ca="1" si="37"/>
        <v>0</v>
      </c>
      <c r="L90" s="145"/>
      <c r="M90" s="145"/>
      <c r="N90" s="145"/>
      <c r="O90" s="145"/>
      <c r="P90" s="145"/>
    </row>
    <row r="91" spans="1:16" ht="19.5" hidden="1" x14ac:dyDescent="0.3">
      <c r="A91" s="125" t="s">
        <v>42</v>
      </c>
      <c r="B91" s="126"/>
      <c r="C91" s="127"/>
      <c r="D91" s="126"/>
      <c r="E91" s="126"/>
      <c r="F91" s="126"/>
      <c r="G91" s="128"/>
      <c r="H91" s="128"/>
      <c r="I91" s="129"/>
      <c r="J91" s="129"/>
      <c r="K91" s="130"/>
      <c r="L91" s="130"/>
      <c r="M91" s="130"/>
      <c r="N91" s="130"/>
      <c r="O91" s="130"/>
      <c r="P91" s="130"/>
    </row>
    <row r="92" spans="1:16" ht="19.5" hidden="1" x14ac:dyDescent="0.3">
      <c r="A92" s="131"/>
      <c r="B92" s="132" t="s">
        <v>43</v>
      </c>
      <c r="C92" s="26"/>
      <c r="D92" s="133"/>
      <c r="E92" s="26"/>
      <c r="F92" s="26"/>
      <c r="G92" s="29"/>
      <c r="H92" s="134" t="s">
        <v>44</v>
      </c>
      <c r="I92" s="135">
        <f t="shared" ref="I92:J92" ca="1" si="39">I108</f>
        <v>0</v>
      </c>
      <c r="J92" s="135">
        <f t="shared" si="39"/>
        <v>0</v>
      </c>
      <c r="K92" s="33">
        <f t="shared" ref="K92:K93" ca="1" si="40">IF(I92&gt;0,J92*100/I92,0)</f>
        <v>0</v>
      </c>
      <c r="L92" s="32"/>
      <c r="M92" s="32"/>
      <c r="N92" s="32"/>
      <c r="O92" s="32"/>
      <c r="P92" s="32"/>
    </row>
    <row r="93" spans="1:16" ht="19.5" hidden="1" x14ac:dyDescent="0.3">
      <c r="A93" s="131"/>
      <c r="B93" s="26"/>
      <c r="C93" s="26"/>
      <c r="D93" s="133"/>
      <c r="E93" s="26"/>
      <c r="F93" s="26"/>
      <c r="G93" s="29"/>
      <c r="H93" s="134" t="s">
        <v>33</v>
      </c>
      <c r="I93" s="135">
        <f t="shared" ref="I93:J93" ca="1" si="41">I109</f>
        <v>0</v>
      </c>
      <c r="J93" s="135">
        <f t="shared" si="41"/>
        <v>0</v>
      </c>
      <c r="K93" s="33">
        <f t="shared" ca="1" si="40"/>
        <v>0</v>
      </c>
      <c r="L93" s="32"/>
      <c r="M93" s="32"/>
      <c r="N93" s="32"/>
      <c r="O93" s="32"/>
      <c r="P93" s="32"/>
    </row>
    <row r="94" spans="1:16" ht="19.5" hidden="1" x14ac:dyDescent="0.3">
      <c r="A94" s="136"/>
      <c r="B94" s="41"/>
      <c r="C94" s="137" t="s">
        <v>16</v>
      </c>
      <c r="D94" s="138" t="s">
        <v>17</v>
      </c>
      <c r="E94" s="41"/>
      <c r="F94" s="41"/>
      <c r="G94" s="43"/>
      <c r="H94" s="139" t="s">
        <v>12</v>
      </c>
      <c r="I94" s="45"/>
      <c r="J94" s="45"/>
      <c r="K94" s="46"/>
      <c r="L94" s="140">
        <f t="shared" ref="L94:N94" ca="1" si="42">L95+L96</f>
        <v>0</v>
      </c>
      <c r="M94" s="140">
        <f t="shared" ca="1" si="42"/>
        <v>0</v>
      </c>
      <c r="N94" s="140">
        <f t="shared" ca="1" si="42"/>
        <v>0</v>
      </c>
      <c r="O94" s="140">
        <f t="shared" ref="O94:O102" ca="1" si="43">IF(L94&gt;0,N94*100/L94,0)</f>
        <v>0</v>
      </c>
      <c r="P94" s="140">
        <f t="shared" ref="P94:P102" ca="1" si="44">IF(M94&gt;0,N94*100/M94,0)</f>
        <v>0</v>
      </c>
    </row>
    <row r="95" spans="1:16" ht="18.75" hidden="1" x14ac:dyDescent="0.25">
      <c r="A95" s="136"/>
      <c r="B95" s="41"/>
      <c r="C95" s="41"/>
      <c r="D95" s="41"/>
      <c r="E95" s="48" t="s">
        <v>18</v>
      </c>
      <c r="F95" s="41"/>
      <c r="G95" s="43"/>
      <c r="H95" s="141" t="s">
        <v>12</v>
      </c>
      <c r="I95" s="45"/>
      <c r="J95" s="45"/>
      <c r="K95" s="46"/>
      <c r="L95" s="50">
        <f t="shared" ref="L95:N95" si="45">L98+L101</f>
        <v>0</v>
      </c>
      <c r="M95" s="50">
        <f t="shared" si="45"/>
        <v>0</v>
      </c>
      <c r="N95" s="50">
        <f t="shared" si="45"/>
        <v>0</v>
      </c>
      <c r="O95" s="50">
        <f t="shared" si="43"/>
        <v>0</v>
      </c>
      <c r="P95" s="50">
        <f t="shared" si="44"/>
        <v>0</v>
      </c>
    </row>
    <row r="96" spans="1:16" ht="18.75" hidden="1" x14ac:dyDescent="0.25">
      <c r="A96" s="136"/>
      <c r="B96" s="41"/>
      <c r="C96" s="41"/>
      <c r="D96" s="41"/>
      <c r="E96" s="51" t="s">
        <v>19</v>
      </c>
      <c r="F96" s="41"/>
      <c r="G96" s="43"/>
      <c r="H96" s="142" t="s">
        <v>12</v>
      </c>
      <c r="I96" s="45"/>
      <c r="J96" s="45"/>
      <c r="K96" s="46"/>
      <c r="L96" s="47">
        <f t="shared" ref="L96:N96" ca="1" si="46">L99+L102</f>
        <v>0</v>
      </c>
      <c r="M96" s="47">
        <f t="shared" ca="1" si="46"/>
        <v>0</v>
      </c>
      <c r="N96" s="47">
        <f t="shared" ca="1" si="46"/>
        <v>0</v>
      </c>
      <c r="O96" s="47">
        <f t="shared" ca="1" si="43"/>
        <v>0</v>
      </c>
      <c r="P96" s="47">
        <f t="shared" ca="1" si="44"/>
        <v>0</v>
      </c>
    </row>
    <row r="97" spans="1:16" ht="18.75" hidden="1" x14ac:dyDescent="0.25">
      <c r="A97" s="136"/>
      <c r="B97" s="41"/>
      <c r="C97" s="41"/>
      <c r="D97" s="42" t="s">
        <v>20</v>
      </c>
      <c r="E97" s="41"/>
      <c r="F97" s="41"/>
      <c r="G97" s="43"/>
      <c r="H97" s="143" t="s">
        <v>12</v>
      </c>
      <c r="I97" s="144"/>
      <c r="J97" s="144"/>
      <c r="K97" s="145"/>
      <c r="L97" s="47">
        <f t="shared" ref="L97:N97" ca="1" si="47">L98+L99</f>
        <v>0</v>
      </c>
      <c r="M97" s="47">
        <f t="shared" ca="1" si="47"/>
        <v>0</v>
      </c>
      <c r="N97" s="47">
        <f t="shared" ca="1" si="47"/>
        <v>0</v>
      </c>
      <c r="O97" s="47">
        <f t="shared" ca="1" si="43"/>
        <v>0</v>
      </c>
      <c r="P97" s="47">
        <f t="shared" ca="1" si="44"/>
        <v>0</v>
      </c>
    </row>
    <row r="98" spans="1:16" ht="18.75" hidden="1" x14ac:dyDescent="0.25">
      <c r="A98" s="136"/>
      <c r="B98" s="41"/>
      <c r="C98" s="41"/>
      <c r="D98" s="41"/>
      <c r="E98" s="48" t="s">
        <v>34</v>
      </c>
      <c r="F98" s="41"/>
      <c r="G98" s="43"/>
      <c r="H98" s="146" t="s">
        <v>12</v>
      </c>
      <c r="I98" s="144"/>
      <c r="J98" s="144"/>
      <c r="K98" s="145"/>
      <c r="L98" s="50">
        <v>0</v>
      </c>
      <c r="M98" s="50">
        <v>0</v>
      </c>
      <c r="N98" s="50">
        <v>0</v>
      </c>
      <c r="O98" s="50">
        <f t="shared" si="43"/>
        <v>0</v>
      </c>
      <c r="P98" s="50">
        <f t="shared" si="44"/>
        <v>0</v>
      </c>
    </row>
    <row r="99" spans="1:16" ht="18.75" hidden="1" x14ac:dyDescent="0.25">
      <c r="A99" s="136"/>
      <c r="B99" s="41"/>
      <c r="C99" s="41"/>
      <c r="D99" s="41"/>
      <c r="E99" s="51" t="s">
        <v>35</v>
      </c>
      <c r="F99" s="41"/>
      <c r="G99" s="43"/>
      <c r="H99" s="143" t="s">
        <v>12</v>
      </c>
      <c r="I99" s="144"/>
      <c r="J99" s="144"/>
      <c r="K99" s="145"/>
      <c r="L99" s="47">
        <f ca="1">IFERROR(__xludf.DUMMYFUNCTION("IMPORTRANGE(""https://docs.google.com/spreadsheets/d/1-uDff_7J0KD5mKrp0Vvzr7lt3OU09vwQwhkpOPPYv2Y/edit?usp=sharing"",""งบพรบ!AW14"")"),0)</f>
        <v>0</v>
      </c>
      <c r="M99" s="47">
        <f ca="1">IFERROR(__xludf.DUMMYFUNCTION("IMPORTRANGE(""https://docs.google.com/spreadsheets/d/1-uDff_7J0KD5mKrp0Vvzr7lt3OU09vwQwhkpOPPYv2Y/edit?usp=sharing"",""งบพรบ!BB14"")"),0)</f>
        <v>0</v>
      </c>
      <c r="N99" s="47">
        <f ca="1">IFERROR(__xludf.DUMMYFUNCTION("IMPORTRANGE(""https://docs.google.com/spreadsheets/d/1-uDff_7J0KD5mKrp0Vvzr7lt3OU09vwQwhkpOPPYv2Y/edit?usp=sharing"",""งบพรบ!BD14"")"),0)</f>
        <v>0</v>
      </c>
      <c r="O99" s="47">
        <f t="shared" ca="1" si="43"/>
        <v>0</v>
      </c>
      <c r="P99" s="47">
        <f t="shared" ca="1" si="44"/>
        <v>0</v>
      </c>
    </row>
    <row r="100" spans="1:16" ht="18.75" hidden="1" x14ac:dyDescent="0.25">
      <c r="A100" s="136"/>
      <c r="B100" s="41"/>
      <c r="C100" s="41"/>
      <c r="D100" s="42" t="s">
        <v>21</v>
      </c>
      <c r="E100" s="41"/>
      <c r="F100" s="41"/>
      <c r="G100" s="43"/>
      <c r="H100" s="147" t="s">
        <v>12</v>
      </c>
      <c r="I100" s="144"/>
      <c r="J100" s="144"/>
      <c r="K100" s="145"/>
      <c r="L100" s="47">
        <f t="shared" ref="L100:N100" ca="1" si="48">L101+L102</f>
        <v>0</v>
      </c>
      <c r="M100" s="47">
        <f t="shared" ca="1" si="48"/>
        <v>0</v>
      </c>
      <c r="N100" s="47">
        <f t="shared" ca="1" si="48"/>
        <v>0</v>
      </c>
      <c r="O100" s="47">
        <f t="shared" ca="1" si="43"/>
        <v>0</v>
      </c>
      <c r="P100" s="47">
        <f t="shared" ca="1" si="44"/>
        <v>0</v>
      </c>
    </row>
    <row r="101" spans="1:16" ht="18.75" hidden="1" x14ac:dyDescent="0.25">
      <c r="A101" s="136"/>
      <c r="B101" s="41"/>
      <c r="C101" s="41"/>
      <c r="D101" s="41"/>
      <c r="E101" s="48" t="s">
        <v>18</v>
      </c>
      <c r="F101" s="41"/>
      <c r="G101" s="43"/>
      <c r="H101" s="146" t="s">
        <v>12</v>
      </c>
      <c r="I101" s="144"/>
      <c r="J101" s="144"/>
      <c r="K101" s="145"/>
      <c r="L101" s="50">
        <v>0</v>
      </c>
      <c r="M101" s="50">
        <v>0</v>
      </c>
      <c r="N101" s="50">
        <v>0</v>
      </c>
      <c r="O101" s="50">
        <f t="shared" si="43"/>
        <v>0</v>
      </c>
      <c r="P101" s="50">
        <f t="shared" si="44"/>
        <v>0</v>
      </c>
    </row>
    <row r="102" spans="1:16" ht="18.75" hidden="1" x14ac:dyDescent="0.25">
      <c r="A102" s="136"/>
      <c r="B102" s="41"/>
      <c r="C102" s="41"/>
      <c r="D102" s="41"/>
      <c r="E102" s="51" t="s">
        <v>19</v>
      </c>
      <c r="F102" s="41"/>
      <c r="G102" s="43"/>
      <c r="H102" s="147" t="s">
        <v>12</v>
      </c>
      <c r="I102" s="144"/>
      <c r="J102" s="144"/>
      <c r="K102" s="145"/>
      <c r="L102" s="47">
        <f ca="1">IFERROR(__xludf.DUMMYFUNCTION("IMPORTRANGE(""https://docs.google.com/spreadsheets/d/1-uDff_7J0KD5mKrp0Vvzr7lt3OU09vwQwhkpOPPYv2Y/edit?usp=sharing"",""งบพรบ!AZ14"")"),0)</f>
        <v>0</v>
      </c>
      <c r="M102" s="47">
        <f ca="1">IFERROR(__xludf.DUMMYFUNCTION("IMPORTRANGE(""https://docs.google.com/spreadsheets/d/1-uDff_7J0KD5mKrp0Vvzr7lt3OU09vwQwhkpOPPYv2Y/edit?usp=sharing"",""งบพรบ!BC14"")"),0)</f>
        <v>0</v>
      </c>
      <c r="N102" s="47">
        <f ca="1">IFERROR(__xludf.DUMMYFUNCTION("IMPORTRANGE(""https://docs.google.com/spreadsheets/d/1-uDff_7J0KD5mKrp0Vvzr7lt3OU09vwQwhkpOPPYv2Y/edit?usp=sharing"",""งบพรบ!BE14"")"),0)</f>
        <v>0</v>
      </c>
      <c r="O102" s="47">
        <f t="shared" ca="1" si="43"/>
        <v>0</v>
      </c>
      <c r="P102" s="47">
        <f t="shared" ca="1" si="44"/>
        <v>0</v>
      </c>
    </row>
    <row r="103" spans="1:16" ht="19.5" hidden="1" x14ac:dyDescent="0.3">
      <c r="A103" s="148"/>
      <c r="B103" s="149"/>
      <c r="C103" s="137" t="s">
        <v>16</v>
      </c>
      <c r="D103" s="150" t="s">
        <v>36</v>
      </c>
      <c r="E103" s="151"/>
      <c r="F103" s="151"/>
      <c r="G103" s="152"/>
      <c r="H103" s="153"/>
      <c r="I103" s="144"/>
      <c r="J103" s="45"/>
      <c r="K103" s="46"/>
      <c r="L103" s="46"/>
      <c r="M103" s="46"/>
      <c r="N103" s="46"/>
      <c r="O103" s="145"/>
      <c r="P103" s="145"/>
    </row>
    <row r="104" spans="1:16" ht="12.75" hidden="1" x14ac:dyDescent="0.2">
      <c r="A104" s="165"/>
      <c r="B104" s="166"/>
      <c r="C104" s="166"/>
      <c r="D104" s="16"/>
      <c r="E104" s="16"/>
      <c r="F104" s="16"/>
      <c r="G104" s="17"/>
      <c r="H104" s="17"/>
      <c r="I104" s="18"/>
      <c r="J104" s="18"/>
      <c r="K104" s="19"/>
      <c r="L104" s="19"/>
      <c r="M104" s="19"/>
      <c r="N104" s="19"/>
      <c r="O104" s="19"/>
      <c r="P104" s="19"/>
    </row>
    <row r="105" spans="1:16" ht="12.75" hidden="1" x14ac:dyDescent="0.2">
      <c r="A105" s="165"/>
      <c r="B105" s="166"/>
      <c r="C105" s="166"/>
      <c r="D105" s="16"/>
      <c r="E105" s="16"/>
      <c r="F105" s="16"/>
      <c r="G105" s="17"/>
      <c r="H105" s="17"/>
      <c r="I105" s="18"/>
      <c r="J105" s="18"/>
      <c r="K105" s="19"/>
      <c r="L105" s="19"/>
      <c r="M105" s="19"/>
      <c r="N105" s="19"/>
      <c r="O105" s="19"/>
      <c r="P105" s="19"/>
    </row>
    <row r="106" spans="1:16" ht="12.75" hidden="1" x14ac:dyDescent="0.2">
      <c r="A106" s="165"/>
      <c r="B106" s="166"/>
      <c r="C106" s="166"/>
      <c r="D106" s="166"/>
      <c r="E106" s="16"/>
      <c r="F106" s="16"/>
      <c r="G106" s="17"/>
      <c r="H106" s="17"/>
      <c r="I106" s="18"/>
      <c r="J106" s="18"/>
      <c r="K106" s="19"/>
      <c r="L106" s="19"/>
      <c r="M106" s="19"/>
      <c r="N106" s="19"/>
      <c r="O106" s="19"/>
      <c r="P106" s="19"/>
    </row>
    <row r="107" spans="1:16" ht="19.5" hidden="1" x14ac:dyDescent="0.3">
      <c r="A107" s="148"/>
      <c r="B107" s="149"/>
      <c r="C107" s="149"/>
      <c r="D107" s="167" t="s">
        <v>45</v>
      </c>
      <c r="E107" s="168"/>
      <c r="F107" s="155"/>
      <c r="G107" s="153"/>
      <c r="H107" s="43"/>
      <c r="I107" s="45"/>
      <c r="J107" s="45"/>
      <c r="K107" s="46"/>
      <c r="L107" s="46"/>
      <c r="M107" s="46"/>
      <c r="N107" s="46"/>
      <c r="O107" s="145"/>
      <c r="P107" s="145"/>
    </row>
    <row r="108" spans="1:16" ht="18.75" hidden="1" x14ac:dyDescent="0.25">
      <c r="A108" s="148"/>
      <c r="B108" s="149"/>
      <c r="C108" s="149"/>
      <c r="D108" s="159" t="s">
        <v>46</v>
      </c>
      <c r="E108" s="155"/>
      <c r="F108" s="155"/>
      <c r="G108" s="153"/>
      <c r="H108" s="44" t="s">
        <v>44</v>
      </c>
      <c r="I108" s="169">
        <f ca="1">IFERROR(__xludf.DUMMYFUNCTION("IMPORTRANGE(""https://docs.google.com/spreadsheets/d/1eHaY18a8A9IcSdp1K8H6x8fbOy06t2VsZHhMHf-1x7Y/edit?usp=sharing"",""แผน!N14"")"),0)</f>
        <v>0</v>
      </c>
      <c r="J108" s="162">
        <v>0</v>
      </c>
      <c r="K108" s="47">
        <f t="shared" ref="K108:K109" ca="1" si="49">IF(I108&gt;0,J108*100/I108,0)</f>
        <v>0</v>
      </c>
      <c r="L108" s="46"/>
      <c r="M108" s="46"/>
      <c r="N108" s="46"/>
      <c r="O108" s="145"/>
      <c r="P108" s="145"/>
    </row>
    <row r="109" spans="1:16" ht="18.75" hidden="1" x14ac:dyDescent="0.25">
      <c r="A109" s="148"/>
      <c r="B109" s="149"/>
      <c r="C109" s="149"/>
      <c r="D109" s="159" t="s">
        <v>47</v>
      </c>
      <c r="E109" s="155"/>
      <c r="F109" s="155"/>
      <c r="G109" s="153"/>
      <c r="H109" s="44" t="s">
        <v>33</v>
      </c>
      <c r="I109" s="169">
        <f ca="1">IFERROR(__xludf.DUMMYFUNCTION("IMPORTRANGE(""https://docs.google.com/spreadsheets/d/1eHaY18a8A9IcSdp1K8H6x8fbOy06t2VsZHhMHf-1x7Y/edit?usp=sharing"",""แผน!O14"")"),0)</f>
        <v>0</v>
      </c>
      <c r="J109" s="162">
        <v>0</v>
      </c>
      <c r="K109" s="47">
        <f t="shared" ca="1" si="49"/>
        <v>0</v>
      </c>
      <c r="L109" s="46"/>
      <c r="M109" s="46"/>
      <c r="N109" s="46"/>
      <c r="O109" s="145"/>
      <c r="P109" s="145"/>
    </row>
    <row r="110" spans="1:16" ht="12.75" hidden="1" x14ac:dyDescent="0.2">
      <c r="A110" s="165"/>
      <c r="B110" s="166"/>
      <c r="C110" s="166"/>
      <c r="D110" s="16"/>
      <c r="E110" s="16"/>
      <c r="F110" s="16"/>
      <c r="G110" s="17"/>
      <c r="H110" s="17"/>
      <c r="I110" s="18"/>
      <c r="J110" s="18"/>
      <c r="K110" s="19"/>
      <c r="L110" s="19"/>
      <c r="M110" s="19"/>
      <c r="N110" s="19"/>
      <c r="O110" s="19"/>
      <c r="P110" s="19"/>
    </row>
    <row r="111" spans="1:16" ht="12.75" hidden="1" x14ac:dyDescent="0.2">
      <c r="A111" s="165"/>
      <c r="B111" s="166"/>
      <c r="C111" s="166"/>
      <c r="D111" s="16"/>
      <c r="E111" s="16"/>
      <c r="F111" s="16"/>
      <c r="G111" s="17"/>
      <c r="H111" s="17"/>
      <c r="I111" s="18"/>
      <c r="J111" s="18"/>
      <c r="K111" s="19"/>
      <c r="L111" s="19"/>
      <c r="M111" s="19"/>
      <c r="N111" s="19"/>
      <c r="O111" s="19"/>
      <c r="P111" s="19"/>
    </row>
    <row r="112" spans="1:16" ht="12.75" hidden="1" x14ac:dyDescent="0.2">
      <c r="A112" s="165"/>
      <c r="B112" s="166"/>
      <c r="C112" s="166"/>
      <c r="D112" s="16"/>
      <c r="E112" s="16"/>
      <c r="F112" s="16"/>
      <c r="G112" s="17"/>
      <c r="H112" s="17"/>
      <c r="I112" s="18"/>
      <c r="J112" s="18"/>
      <c r="K112" s="19"/>
      <c r="L112" s="19"/>
      <c r="M112" s="19"/>
      <c r="N112" s="19"/>
      <c r="O112" s="19"/>
      <c r="P112" s="19"/>
    </row>
    <row r="113" spans="1:16" ht="12.75" hidden="1" x14ac:dyDescent="0.2">
      <c r="A113" s="165"/>
      <c r="B113" s="166"/>
      <c r="C113" s="166"/>
      <c r="D113" s="16"/>
      <c r="E113" s="16"/>
      <c r="F113" s="16"/>
      <c r="G113" s="17"/>
      <c r="H113" s="17"/>
      <c r="I113" s="18"/>
      <c r="J113" s="18"/>
      <c r="K113" s="19"/>
      <c r="L113" s="19"/>
      <c r="M113" s="19"/>
      <c r="N113" s="19"/>
      <c r="O113" s="19"/>
      <c r="P113" s="19"/>
    </row>
    <row r="114" spans="1:16" ht="12.75" hidden="1" x14ac:dyDescent="0.2">
      <c r="A114" s="165"/>
      <c r="B114" s="166"/>
      <c r="C114" s="166"/>
      <c r="D114" s="16"/>
      <c r="E114" s="16"/>
      <c r="F114" s="16"/>
      <c r="G114" s="17"/>
      <c r="H114" s="17"/>
      <c r="I114" s="18"/>
      <c r="J114" s="18"/>
      <c r="K114" s="19"/>
      <c r="L114" s="19"/>
      <c r="M114" s="19"/>
      <c r="N114" s="19"/>
      <c r="O114" s="19"/>
      <c r="P114" s="19"/>
    </row>
    <row r="115" spans="1:16" ht="12.75" hidden="1" x14ac:dyDescent="0.2">
      <c r="A115" s="165"/>
      <c r="B115" s="166"/>
      <c r="C115" s="166"/>
      <c r="D115" s="16"/>
      <c r="E115" s="16"/>
      <c r="F115" s="16"/>
      <c r="G115" s="17"/>
      <c r="H115" s="17"/>
      <c r="I115" s="18"/>
      <c r="J115" s="18"/>
      <c r="K115" s="19"/>
      <c r="L115" s="19"/>
      <c r="M115" s="19"/>
      <c r="N115" s="19"/>
      <c r="O115" s="19"/>
      <c r="P115" s="19"/>
    </row>
    <row r="116" spans="1:16" ht="12.75" hidden="1" x14ac:dyDescent="0.2">
      <c r="A116" s="165"/>
      <c r="B116" s="166"/>
      <c r="C116" s="166"/>
      <c r="D116" s="16"/>
      <c r="E116" s="16"/>
      <c r="F116" s="16"/>
      <c r="G116" s="17"/>
      <c r="H116" s="17"/>
      <c r="I116" s="18"/>
      <c r="J116" s="18"/>
      <c r="K116" s="19"/>
      <c r="L116" s="19"/>
      <c r="M116" s="19"/>
      <c r="N116" s="19"/>
      <c r="O116" s="19"/>
      <c r="P116" s="19"/>
    </row>
    <row r="117" spans="1:16" ht="18.75" hidden="1" x14ac:dyDescent="0.25">
      <c r="A117" s="148"/>
      <c r="B117" s="149"/>
      <c r="C117" s="149"/>
      <c r="D117" s="159" t="s">
        <v>48</v>
      </c>
      <c r="E117" s="155"/>
      <c r="F117" s="155"/>
      <c r="G117" s="153"/>
      <c r="H117" s="160" t="s">
        <v>33</v>
      </c>
      <c r="I117" s="161">
        <f ca="1">IFERROR(__xludf.DUMMYFUNCTION("IMPORTRANGE(""https://docs.google.com/spreadsheets/d/1eHaY18a8A9IcSdp1K8H6x8fbOy06t2VsZHhMHf-1x7Y/edit?usp=sharing"",""แผน!R14"")"),0)</f>
        <v>0</v>
      </c>
      <c r="J117" s="162">
        <v>0</v>
      </c>
      <c r="K117" s="47">
        <f ca="1">IF(I117&gt;0,J117*100/I117,0)</f>
        <v>0</v>
      </c>
      <c r="L117" s="46"/>
      <c r="M117" s="46"/>
      <c r="N117" s="46"/>
      <c r="O117" s="145"/>
      <c r="P117" s="145"/>
    </row>
    <row r="118" spans="1:16" ht="12.75" hidden="1" x14ac:dyDescent="0.2">
      <c r="A118" s="165"/>
      <c r="B118" s="166"/>
      <c r="C118" s="166"/>
      <c r="D118" s="166"/>
      <c r="E118" s="16"/>
      <c r="F118" s="16"/>
      <c r="G118" s="17"/>
      <c r="H118" s="17"/>
      <c r="I118" s="18"/>
      <c r="J118" s="18"/>
      <c r="K118" s="19"/>
      <c r="L118" s="19"/>
      <c r="M118" s="19"/>
      <c r="N118" s="19"/>
      <c r="O118" s="19"/>
      <c r="P118" s="19"/>
    </row>
    <row r="119" spans="1:16" ht="12.75" hidden="1" x14ac:dyDescent="0.2">
      <c r="A119" s="165"/>
      <c r="B119" s="166"/>
      <c r="C119" s="166"/>
      <c r="D119" s="166"/>
      <c r="E119" s="16"/>
      <c r="F119" s="16"/>
      <c r="G119" s="17"/>
      <c r="H119" s="17"/>
      <c r="I119" s="18"/>
      <c r="J119" s="18"/>
      <c r="K119" s="19"/>
      <c r="L119" s="19"/>
      <c r="M119" s="19"/>
      <c r="N119" s="19"/>
      <c r="O119" s="19"/>
      <c r="P119" s="19"/>
    </row>
    <row r="120" spans="1:16" ht="12.75" hidden="1" x14ac:dyDescent="0.2">
      <c r="A120" s="165"/>
      <c r="B120" s="166"/>
      <c r="C120" s="166"/>
      <c r="D120" s="166"/>
      <c r="E120" s="16"/>
      <c r="F120" s="16"/>
      <c r="G120" s="17"/>
      <c r="H120" s="17"/>
      <c r="I120" s="18"/>
      <c r="J120" s="18"/>
      <c r="K120" s="19"/>
      <c r="L120" s="19"/>
      <c r="M120" s="19"/>
      <c r="N120" s="19"/>
      <c r="O120" s="19"/>
      <c r="P120" s="19"/>
    </row>
    <row r="121" spans="1:16" ht="12.75" hidden="1" x14ac:dyDescent="0.2">
      <c r="A121" s="165"/>
      <c r="B121" s="166"/>
      <c r="C121" s="166"/>
      <c r="D121" s="166"/>
      <c r="E121" s="16"/>
      <c r="F121" s="16"/>
      <c r="G121" s="17"/>
      <c r="H121" s="17"/>
      <c r="I121" s="18"/>
      <c r="J121" s="18"/>
      <c r="K121" s="19"/>
      <c r="L121" s="19"/>
      <c r="M121" s="19"/>
      <c r="N121" s="19"/>
      <c r="O121" s="19"/>
      <c r="P121" s="19"/>
    </row>
    <row r="122" spans="1:16" ht="12.75" hidden="1" x14ac:dyDescent="0.2">
      <c r="A122" s="165"/>
      <c r="B122" s="166"/>
      <c r="C122" s="166"/>
      <c r="D122" s="166"/>
      <c r="E122" s="16"/>
      <c r="F122" s="16"/>
      <c r="G122" s="17"/>
      <c r="H122" s="17"/>
      <c r="I122" s="18"/>
      <c r="J122" s="18"/>
      <c r="K122" s="19"/>
      <c r="L122" s="19"/>
      <c r="M122" s="19"/>
      <c r="N122" s="19"/>
      <c r="O122" s="19"/>
      <c r="P122" s="19"/>
    </row>
    <row r="123" spans="1:16" ht="19.5" hidden="1" x14ac:dyDescent="0.3">
      <c r="A123" s="170" t="s">
        <v>49</v>
      </c>
      <c r="B123" s="16"/>
      <c r="C123" s="171"/>
      <c r="D123" s="16"/>
      <c r="E123" s="16"/>
      <c r="F123" s="16"/>
      <c r="G123" s="16"/>
      <c r="H123" s="16"/>
      <c r="I123" s="172"/>
      <c r="J123" s="172"/>
      <c r="K123" s="173"/>
      <c r="L123" s="19"/>
      <c r="M123" s="19"/>
      <c r="N123" s="19"/>
      <c r="O123" s="19"/>
      <c r="P123" s="19"/>
    </row>
    <row r="124" spans="1:16" ht="19.5" hidden="1" x14ac:dyDescent="0.3">
      <c r="A124" s="174"/>
      <c r="B124" s="175" t="s">
        <v>50</v>
      </c>
      <c r="C124" s="171"/>
      <c r="D124" s="166"/>
      <c r="E124" s="16"/>
      <c r="F124" s="16"/>
      <c r="G124" s="17"/>
      <c r="H124" s="17"/>
      <c r="I124" s="176">
        <v>0</v>
      </c>
      <c r="J124" s="176">
        <v>0</v>
      </c>
      <c r="K124" s="177">
        <v>0</v>
      </c>
      <c r="L124" s="19"/>
      <c r="M124" s="19"/>
      <c r="N124" s="19"/>
      <c r="O124" s="19"/>
      <c r="P124" s="19"/>
    </row>
    <row r="125" spans="1:16" ht="19.5" hidden="1" x14ac:dyDescent="0.3">
      <c r="A125" s="174"/>
      <c r="B125" s="16"/>
      <c r="C125" s="178" t="s">
        <v>16</v>
      </c>
      <c r="D125" s="179" t="s">
        <v>17</v>
      </c>
      <c r="E125" s="16"/>
      <c r="F125" s="16"/>
      <c r="G125" s="17"/>
      <c r="H125" s="180" t="s">
        <v>12</v>
      </c>
      <c r="I125" s="18"/>
      <c r="J125" s="18"/>
      <c r="K125" s="19"/>
      <c r="L125" s="181">
        <f t="shared" ref="L125:N125" ca="1" si="50">L126+L127</f>
        <v>0</v>
      </c>
      <c r="M125" s="181">
        <f t="shared" ca="1" si="50"/>
        <v>0</v>
      </c>
      <c r="N125" s="181">
        <f t="shared" ca="1" si="50"/>
        <v>0</v>
      </c>
      <c r="O125" s="181">
        <f t="shared" ref="O125:O133" ca="1" si="51">IF(L125&gt;0,N125*100/L125,0)</f>
        <v>0</v>
      </c>
      <c r="P125" s="181">
        <f t="shared" ref="P125:P133" ca="1" si="52">IF(M125&gt;0,N125*100/M125,0)</f>
        <v>0</v>
      </c>
    </row>
    <row r="126" spans="1:16" ht="18.75" hidden="1" x14ac:dyDescent="0.25">
      <c r="A126" s="174"/>
      <c r="B126" s="16"/>
      <c r="C126" s="16"/>
      <c r="D126" s="16"/>
      <c r="E126" s="182" t="s">
        <v>18</v>
      </c>
      <c r="F126" s="16"/>
      <c r="G126" s="17"/>
      <c r="H126" s="183" t="s">
        <v>12</v>
      </c>
      <c r="I126" s="18"/>
      <c r="J126" s="18"/>
      <c r="K126" s="19"/>
      <c r="L126" s="184">
        <f t="shared" ref="L126:N126" si="53">L129+L132</f>
        <v>0</v>
      </c>
      <c r="M126" s="184">
        <f t="shared" si="53"/>
        <v>0</v>
      </c>
      <c r="N126" s="184">
        <f t="shared" si="53"/>
        <v>0</v>
      </c>
      <c r="O126" s="184">
        <f t="shared" si="51"/>
        <v>0</v>
      </c>
      <c r="P126" s="184">
        <f t="shared" si="52"/>
        <v>0</v>
      </c>
    </row>
    <row r="127" spans="1:16" ht="18.75" hidden="1" x14ac:dyDescent="0.25">
      <c r="A127" s="174"/>
      <c r="B127" s="16"/>
      <c r="C127" s="16"/>
      <c r="D127" s="16"/>
      <c r="E127" s="185" t="s">
        <v>19</v>
      </c>
      <c r="F127" s="16"/>
      <c r="G127" s="17"/>
      <c r="H127" s="186" t="s">
        <v>12</v>
      </c>
      <c r="I127" s="18"/>
      <c r="J127" s="18"/>
      <c r="K127" s="19"/>
      <c r="L127" s="177">
        <f t="shared" ref="L127:N127" ca="1" si="54">L130+L133</f>
        <v>0</v>
      </c>
      <c r="M127" s="177">
        <f t="shared" ca="1" si="54"/>
        <v>0</v>
      </c>
      <c r="N127" s="177">
        <f t="shared" ca="1" si="54"/>
        <v>0</v>
      </c>
      <c r="O127" s="177">
        <f t="shared" ca="1" si="51"/>
        <v>0</v>
      </c>
      <c r="P127" s="177">
        <f t="shared" ca="1" si="52"/>
        <v>0</v>
      </c>
    </row>
    <row r="128" spans="1:16" ht="18.75" hidden="1" x14ac:dyDescent="0.25">
      <c r="A128" s="174"/>
      <c r="B128" s="16"/>
      <c r="C128" s="16"/>
      <c r="D128" s="187" t="s">
        <v>20</v>
      </c>
      <c r="E128" s="16"/>
      <c r="F128" s="16"/>
      <c r="G128" s="17"/>
      <c r="H128" s="188" t="s">
        <v>12</v>
      </c>
      <c r="I128" s="18"/>
      <c r="J128" s="18"/>
      <c r="K128" s="19"/>
      <c r="L128" s="177">
        <f t="shared" ref="L128:N128" ca="1" si="55">L129+L130</f>
        <v>0</v>
      </c>
      <c r="M128" s="177">
        <f t="shared" ca="1" si="55"/>
        <v>0</v>
      </c>
      <c r="N128" s="177">
        <f t="shared" ca="1" si="55"/>
        <v>0</v>
      </c>
      <c r="O128" s="177">
        <f t="shared" ca="1" si="51"/>
        <v>0</v>
      </c>
      <c r="P128" s="177">
        <f t="shared" ca="1" si="52"/>
        <v>0</v>
      </c>
    </row>
    <row r="129" spans="1:16" ht="18.75" hidden="1" x14ac:dyDescent="0.25">
      <c r="A129" s="174"/>
      <c r="B129" s="16"/>
      <c r="C129" s="16"/>
      <c r="D129" s="16"/>
      <c r="E129" s="182" t="s">
        <v>34</v>
      </c>
      <c r="F129" s="16"/>
      <c r="G129" s="17"/>
      <c r="H129" s="189" t="s">
        <v>12</v>
      </c>
      <c r="I129" s="18"/>
      <c r="J129" s="18"/>
      <c r="K129" s="19"/>
      <c r="L129" s="184">
        <v>0</v>
      </c>
      <c r="M129" s="184">
        <v>0</v>
      </c>
      <c r="N129" s="184">
        <v>0</v>
      </c>
      <c r="O129" s="184">
        <f t="shared" si="51"/>
        <v>0</v>
      </c>
      <c r="P129" s="184">
        <f t="shared" si="52"/>
        <v>0</v>
      </c>
    </row>
    <row r="130" spans="1:16" ht="18.75" hidden="1" x14ac:dyDescent="0.25">
      <c r="A130" s="174"/>
      <c r="B130" s="16"/>
      <c r="C130" s="16"/>
      <c r="D130" s="16"/>
      <c r="E130" s="185" t="s">
        <v>35</v>
      </c>
      <c r="F130" s="16"/>
      <c r="G130" s="17"/>
      <c r="H130" s="188" t="s">
        <v>12</v>
      </c>
      <c r="I130" s="18"/>
      <c r="J130" s="18"/>
      <c r="K130" s="19"/>
      <c r="L130" s="177">
        <f ca="1">IFERROR(__xludf.DUMMYFUNCTION("IMPORTRANGE(""https://docs.google.com/spreadsheets/d/1-uDff_7J0KD5mKrp0Vvzr7lt3OU09vwQwhkpOPPYv2Y/edit?usp=sharing"",""งบพรบ!BG14"")"),0)</f>
        <v>0</v>
      </c>
      <c r="M130" s="177">
        <f ca="1">IFERROR(__xludf.DUMMYFUNCTION("IMPORTRANGE(""https://docs.google.com/spreadsheets/d/1-uDff_7J0KD5mKrp0Vvzr7lt3OU09vwQwhkpOPPYv2Y/edit?usp=sharing"",""งบพรบ!BL14"")"),0)</f>
        <v>0</v>
      </c>
      <c r="N130" s="177">
        <f ca="1">IFERROR(__xludf.DUMMYFUNCTION("IMPORTRANGE(""https://docs.google.com/spreadsheets/d/1-uDff_7J0KD5mKrp0Vvzr7lt3OU09vwQwhkpOPPYv2Y/edit?usp=sharing"",""งบพรบ!BN14"")"),0)</f>
        <v>0</v>
      </c>
      <c r="O130" s="177">
        <f t="shared" ca="1" si="51"/>
        <v>0</v>
      </c>
      <c r="P130" s="177">
        <f t="shared" ca="1" si="52"/>
        <v>0</v>
      </c>
    </row>
    <row r="131" spans="1:16" ht="18.75" hidden="1" x14ac:dyDescent="0.25">
      <c r="A131" s="174"/>
      <c r="B131" s="16"/>
      <c r="C131" s="16"/>
      <c r="D131" s="187" t="s">
        <v>21</v>
      </c>
      <c r="E131" s="16"/>
      <c r="F131" s="16"/>
      <c r="G131" s="17"/>
      <c r="H131" s="186" t="s">
        <v>12</v>
      </c>
      <c r="I131" s="18"/>
      <c r="J131" s="18"/>
      <c r="K131" s="19"/>
      <c r="L131" s="177">
        <f t="shared" ref="L131:N131" ca="1" si="56">L132+L133</f>
        <v>0</v>
      </c>
      <c r="M131" s="177">
        <f t="shared" ca="1" si="56"/>
        <v>0</v>
      </c>
      <c r="N131" s="177">
        <f t="shared" ca="1" si="56"/>
        <v>0</v>
      </c>
      <c r="O131" s="177">
        <f t="shared" ca="1" si="51"/>
        <v>0</v>
      </c>
      <c r="P131" s="177">
        <f t="shared" ca="1" si="52"/>
        <v>0</v>
      </c>
    </row>
    <row r="132" spans="1:16" ht="18.75" hidden="1" x14ac:dyDescent="0.25">
      <c r="A132" s="174"/>
      <c r="B132" s="16"/>
      <c r="C132" s="16"/>
      <c r="D132" s="16"/>
      <c r="E132" s="182" t="s">
        <v>18</v>
      </c>
      <c r="F132" s="16"/>
      <c r="G132" s="17"/>
      <c r="H132" s="189" t="s">
        <v>12</v>
      </c>
      <c r="I132" s="18"/>
      <c r="J132" s="18"/>
      <c r="K132" s="19"/>
      <c r="L132" s="184">
        <v>0</v>
      </c>
      <c r="M132" s="184">
        <v>0</v>
      </c>
      <c r="N132" s="184">
        <v>0</v>
      </c>
      <c r="O132" s="184">
        <f t="shared" si="51"/>
        <v>0</v>
      </c>
      <c r="P132" s="184">
        <f t="shared" si="52"/>
        <v>0</v>
      </c>
    </row>
    <row r="133" spans="1:16" ht="18.75" hidden="1" x14ac:dyDescent="0.25">
      <c r="A133" s="174"/>
      <c r="B133" s="16"/>
      <c r="C133" s="16"/>
      <c r="D133" s="16"/>
      <c r="E133" s="185" t="s">
        <v>19</v>
      </c>
      <c r="F133" s="16"/>
      <c r="G133" s="17"/>
      <c r="H133" s="186" t="s">
        <v>12</v>
      </c>
      <c r="I133" s="18"/>
      <c r="J133" s="18"/>
      <c r="K133" s="19"/>
      <c r="L133" s="177">
        <f ca="1">IFERROR(__xludf.DUMMYFUNCTION("IMPORTRANGE(""https://docs.google.com/spreadsheets/d/1-uDff_7J0KD5mKrp0Vvzr7lt3OU09vwQwhkpOPPYv2Y/edit?usp=sharing"",""งบพรบ!BJ14"")"),0)</f>
        <v>0</v>
      </c>
      <c r="M133" s="177">
        <f ca="1">IFERROR(__xludf.DUMMYFUNCTION("IMPORTRANGE(""https://docs.google.com/spreadsheets/d/1-uDff_7J0KD5mKrp0Vvzr7lt3OU09vwQwhkpOPPYv2Y/edit?usp=sharing"",""งบพรบ!BM14"")"),0)</f>
        <v>0</v>
      </c>
      <c r="N133" s="177">
        <f ca="1">IFERROR(__xludf.DUMMYFUNCTION("IMPORTRANGE(""https://docs.google.com/spreadsheets/d/1-uDff_7J0KD5mKrp0Vvzr7lt3OU09vwQwhkpOPPYv2Y/edit?usp=sharing"",""งบพรบ!BO14"")"),0)</f>
        <v>0</v>
      </c>
      <c r="O133" s="177">
        <f t="shared" ca="1" si="51"/>
        <v>0</v>
      </c>
      <c r="P133" s="177">
        <f t="shared" ca="1" si="52"/>
        <v>0</v>
      </c>
    </row>
    <row r="134" spans="1:16" ht="19.5" hidden="1" x14ac:dyDescent="0.3">
      <c r="A134" s="125" t="s">
        <v>51</v>
      </c>
      <c r="B134" s="126"/>
      <c r="C134" s="190"/>
      <c r="D134" s="126"/>
      <c r="E134" s="126"/>
      <c r="F134" s="126"/>
      <c r="G134" s="126"/>
      <c r="H134" s="126"/>
      <c r="I134" s="191"/>
      <c r="J134" s="191"/>
      <c r="K134" s="192"/>
      <c r="L134" s="130"/>
      <c r="M134" s="130"/>
      <c r="N134" s="130"/>
      <c r="O134" s="130"/>
      <c r="P134" s="130"/>
    </row>
    <row r="135" spans="1:16" ht="19.5" hidden="1" x14ac:dyDescent="0.3">
      <c r="A135" s="131"/>
      <c r="B135" s="132" t="s">
        <v>52</v>
      </c>
      <c r="C135" s="193"/>
      <c r="D135" s="133"/>
      <c r="E135" s="26"/>
      <c r="F135" s="26"/>
      <c r="G135" s="26"/>
      <c r="H135" s="26"/>
      <c r="I135" s="194"/>
      <c r="J135" s="31"/>
      <c r="K135" s="32"/>
      <c r="L135" s="32"/>
      <c r="M135" s="32"/>
      <c r="N135" s="32"/>
      <c r="O135" s="32"/>
      <c r="P135" s="32"/>
    </row>
    <row r="136" spans="1:16" ht="19.5" hidden="1" x14ac:dyDescent="0.3">
      <c r="A136" s="131"/>
      <c r="B136" s="26"/>
      <c r="C136" s="195" t="s">
        <v>53</v>
      </c>
      <c r="D136" s="133"/>
      <c r="E136" s="26"/>
      <c r="F136" s="26"/>
      <c r="G136" s="29"/>
      <c r="H136" s="134" t="s">
        <v>54</v>
      </c>
      <c r="I136" s="135">
        <f t="shared" ref="I136:J136" ca="1" si="57">I154</f>
        <v>0</v>
      </c>
      <c r="J136" s="135">
        <f t="shared" si="57"/>
        <v>0</v>
      </c>
      <c r="K136" s="33">
        <f t="shared" ref="K136:K138" ca="1" si="58">IF(I136&gt;0,J136*100/I136,0)</f>
        <v>0</v>
      </c>
      <c r="L136" s="32"/>
      <c r="M136" s="32"/>
      <c r="N136" s="32"/>
      <c r="O136" s="32"/>
      <c r="P136" s="32"/>
    </row>
    <row r="137" spans="1:16" ht="19.5" hidden="1" x14ac:dyDescent="0.3">
      <c r="A137" s="131"/>
      <c r="B137" s="26"/>
      <c r="C137" s="195" t="s">
        <v>55</v>
      </c>
      <c r="D137" s="133"/>
      <c r="E137" s="26"/>
      <c r="F137" s="26"/>
      <c r="G137" s="29"/>
      <c r="H137" s="134" t="s">
        <v>33</v>
      </c>
      <c r="I137" s="135">
        <f t="shared" ref="I137:J137" ca="1" si="59">I152</f>
        <v>0</v>
      </c>
      <c r="J137" s="135">
        <f t="shared" si="59"/>
        <v>0</v>
      </c>
      <c r="K137" s="33">
        <f t="shared" ca="1" si="58"/>
        <v>0</v>
      </c>
      <c r="L137" s="32"/>
      <c r="M137" s="32"/>
      <c r="N137" s="32"/>
      <c r="O137" s="32"/>
      <c r="P137" s="32"/>
    </row>
    <row r="138" spans="1:16" ht="19.5" hidden="1" x14ac:dyDescent="0.3">
      <c r="A138" s="131"/>
      <c r="B138" s="26"/>
      <c r="C138" s="193"/>
      <c r="D138" s="133"/>
      <c r="E138" s="26"/>
      <c r="F138" s="26"/>
      <c r="G138" s="29"/>
      <c r="H138" s="134" t="s">
        <v>56</v>
      </c>
      <c r="I138" s="135">
        <f t="shared" ref="I138:J138" ca="1" si="60">I153</f>
        <v>0</v>
      </c>
      <c r="J138" s="135">
        <f t="shared" si="60"/>
        <v>0</v>
      </c>
      <c r="K138" s="33">
        <f t="shared" ca="1" si="58"/>
        <v>0</v>
      </c>
      <c r="L138" s="32"/>
      <c r="M138" s="32"/>
      <c r="N138" s="32"/>
      <c r="O138" s="32"/>
      <c r="P138" s="32"/>
    </row>
    <row r="139" spans="1:16" ht="19.5" hidden="1" x14ac:dyDescent="0.3">
      <c r="A139" s="136"/>
      <c r="B139" s="41"/>
      <c r="C139" s="137" t="s">
        <v>16</v>
      </c>
      <c r="D139" s="138" t="s">
        <v>17</v>
      </c>
      <c r="E139" s="41"/>
      <c r="F139" s="41"/>
      <c r="G139" s="43"/>
      <c r="H139" s="139" t="s">
        <v>12</v>
      </c>
      <c r="I139" s="45"/>
      <c r="J139" s="45"/>
      <c r="K139" s="46"/>
      <c r="L139" s="140">
        <f t="shared" ref="L139:N139" ca="1" si="61">L140+L141</f>
        <v>0</v>
      </c>
      <c r="M139" s="140">
        <f t="shared" ca="1" si="61"/>
        <v>0</v>
      </c>
      <c r="N139" s="140">
        <f t="shared" ca="1" si="61"/>
        <v>0</v>
      </c>
      <c r="O139" s="140">
        <f t="shared" ref="O139:O147" ca="1" si="62">IF(L139&gt;0,N139*100/L139,0)</f>
        <v>0</v>
      </c>
      <c r="P139" s="140">
        <f t="shared" ref="P139:P147" ca="1" si="63">IF(M139&gt;0,N139*100/M139,0)</f>
        <v>0</v>
      </c>
    </row>
    <row r="140" spans="1:16" ht="18.75" hidden="1" x14ac:dyDescent="0.25">
      <c r="A140" s="136"/>
      <c r="B140" s="41"/>
      <c r="C140" s="41"/>
      <c r="D140" s="41"/>
      <c r="E140" s="48" t="s">
        <v>18</v>
      </c>
      <c r="F140" s="41"/>
      <c r="G140" s="43"/>
      <c r="H140" s="141" t="s">
        <v>12</v>
      </c>
      <c r="I140" s="45"/>
      <c r="J140" s="45"/>
      <c r="K140" s="46"/>
      <c r="L140" s="50">
        <f t="shared" ref="L140:N140" si="64">L143+L146</f>
        <v>0</v>
      </c>
      <c r="M140" s="50">
        <f t="shared" si="64"/>
        <v>0</v>
      </c>
      <c r="N140" s="50">
        <f t="shared" si="64"/>
        <v>0</v>
      </c>
      <c r="O140" s="50">
        <f t="shared" si="62"/>
        <v>0</v>
      </c>
      <c r="P140" s="50">
        <f t="shared" si="63"/>
        <v>0</v>
      </c>
    </row>
    <row r="141" spans="1:16" ht="18.75" hidden="1" x14ac:dyDescent="0.25">
      <c r="A141" s="136"/>
      <c r="B141" s="41"/>
      <c r="C141" s="41"/>
      <c r="D141" s="41"/>
      <c r="E141" s="51" t="s">
        <v>19</v>
      </c>
      <c r="F141" s="41"/>
      <c r="G141" s="43"/>
      <c r="H141" s="142" t="s">
        <v>12</v>
      </c>
      <c r="I141" s="45"/>
      <c r="J141" s="45"/>
      <c r="K141" s="46"/>
      <c r="L141" s="47">
        <f t="shared" ref="L141:N141" ca="1" si="65">L144+L147</f>
        <v>0</v>
      </c>
      <c r="M141" s="47">
        <f t="shared" ca="1" si="65"/>
        <v>0</v>
      </c>
      <c r="N141" s="47">
        <f t="shared" ca="1" si="65"/>
        <v>0</v>
      </c>
      <c r="O141" s="47">
        <f t="shared" ca="1" si="62"/>
        <v>0</v>
      </c>
      <c r="P141" s="47">
        <f t="shared" ca="1" si="63"/>
        <v>0</v>
      </c>
    </row>
    <row r="142" spans="1:16" ht="18.75" hidden="1" x14ac:dyDescent="0.25">
      <c r="A142" s="136"/>
      <c r="B142" s="41"/>
      <c r="C142" s="41"/>
      <c r="D142" s="42" t="s">
        <v>20</v>
      </c>
      <c r="E142" s="41"/>
      <c r="F142" s="41"/>
      <c r="G142" s="43"/>
      <c r="H142" s="143" t="s">
        <v>12</v>
      </c>
      <c r="I142" s="144"/>
      <c r="J142" s="144"/>
      <c r="K142" s="145"/>
      <c r="L142" s="47">
        <f t="shared" ref="L142:N142" ca="1" si="66">L143+L144</f>
        <v>0</v>
      </c>
      <c r="M142" s="47">
        <f t="shared" ca="1" si="66"/>
        <v>0</v>
      </c>
      <c r="N142" s="47">
        <f t="shared" ca="1" si="66"/>
        <v>0</v>
      </c>
      <c r="O142" s="47">
        <f t="shared" ca="1" si="62"/>
        <v>0</v>
      </c>
      <c r="P142" s="47">
        <f t="shared" ca="1" si="63"/>
        <v>0</v>
      </c>
    </row>
    <row r="143" spans="1:16" ht="18.75" hidden="1" x14ac:dyDescent="0.25">
      <c r="A143" s="136"/>
      <c r="B143" s="41"/>
      <c r="C143" s="41"/>
      <c r="D143" s="41"/>
      <c r="E143" s="48" t="s">
        <v>34</v>
      </c>
      <c r="F143" s="41"/>
      <c r="G143" s="43"/>
      <c r="H143" s="146" t="s">
        <v>12</v>
      </c>
      <c r="I143" s="144"/>
      <c r="J143" s="144"/>
      <c r="K143" s="145"/>
      <c r="L143" s="50">
        <v>0</v>
      </c>
      <c r="M143" s="50">
        <v>0</v>
      </c>
      <c r="N143" s="50">
        <v>0</v>
      </c>
      <c r="O143" s="50">
        <f t="shared" si="62"/>
        <v>0</v>
      </c>
      <c r="P143" s="50">
        <f t="shared" si="63"/>
        <v>0</v>
      </c>
    </row>
    <row r="144" spans="1:16" ht="18.75" hidden="1" x14ac:dyDescent="0.25">
      <c r="A144" s="136"/>
      <c r="B144" s="41"/>
      <c r="C144" s="41"/>
      <c r="D144" s="41"/>
      <c r="E144" s="51" t="s">
        <v>35</v>
      </c>
      <c r="F144" s="41"/>
      <c r="G144" s="43"/>
      <c r="H144" s="143" t="s">
        <v>12</v>
      </c>
      <c r="I144" s="144"/>
      <c r="J144" s="144"/>
      <c r="K144" s="145"/>
      <c r="L144" s="47">
        <f ca="1">IFERROR(__xludf.DUMMYFUNCTION("IMPORTRANGE(""https://docs.google.com/spreadsheets/d/1-uDff_7J0KD5mKrp0Vvzr7lt3OU09vwQwhkpOPPYv2Y/edit?usp=sharing"",""งบพรบ!BQ14"")"),0)</f>
        <v>0</v>
      </c>
      <c r="M144" s="47">
        <f ca="1">IFERROR(__xludf.DUMMYFUNCTION("IMPORTRANGE(""https://docs.google.com/spreadsheets/d/1-uDff_7J0KD5mKrp0Vvzr7lt3OU09vwQwhkpOPPYv2Y/edit?usp=sharing"",""งบพรบ!BV14"")"),0)</f>
        <v>0</v>
      </c>
      <c r="N144" s="47">
        <f ca="1">IFERROR(__xludf.DUMMYFUNCTION("IMPORTRANGE(""https://docs.google.com/spreadsheets/d/1-uDff_7J0KD5mKrp0Vvzr7lt3OU09vwQwhkpOPPYv2Y/edit?usp=sharing"",""งบพรบ!BX14"")"),0)</f>
        <v>0</v>
      </c>
      <c r="O144" s="47">
        <f t="shared" ca="1" si="62"/>
        <v>0</v>
      </c>
      <c r="P144" s="47">
        <f t="shared" ca="1" si="63"/>
        <v>0</v>
      </c>
    </row>
    <row r="145" spans="1:16" ht="18.75" hidden="1" x14ac:dyDescent="0.25">
      <c r="A145" s="136"/>
      <c r="B145" s="41"/>
      <c r="C145" s="41"/>
      <c r="D145" s="42" t="s">
        <v>21</v>
      </c>
      <c r="E145" s="41"/>
      <c r="F145" s="41"/>
      <c r="G145" s="43"/>
      <c r="H145" s="147" t="s">
        <v>12</v>
      </c>
      <c r="I145" s="144"/>
      <c r="J145" s="144"/>
      <c r="K145" s="145"/>
      <c r="L145" s="47">
        <f t="shared" ref="L145:N145" ca="1" si="67">L146+L147</f>
        <v>0</v>
      </c>
      <c r="M145" s="47">
        <f t="shared" ca="1" si="67"/>
        <v>0</v>
      </c>
      <c r="N145" s="47">
        <f t="shared" ca="1" si="67"/>
        <v>0</v>
      </c>
      <c r="O145" s="47">
        <f t="shared" ca="1" si="62"/>
        <v>0</v>
      </c>
      <c r="P145" s="47">
        <f t="shared" ca="1" si="63"/>
        <v>0</v>
      </c>
    </row>
    <row r="146" spans="1:16" ht="18.75" hidden="1" x14ac:dyDescent="0.25">
      <c r="A146" s="136"/>
      <c r="B146" s="41"/>
      <c r="C146" s="41"/>
      <c r="D146" s="41"/>
      <c r="E146" s="48" t="s">
        <v>18</v>
      </c>
      <c r="F146" s="41"/>
      <c r="G146" s="43"/>
      <c r="H146" s="146" t="s">
        <v>12</v>
      </c>
      <c r="I146" s="144"/>
      <c r="J146" s="144"/>
      <c r="K146" s="145"/>
      <c r="L146" s="50">
        <v>0</v>
      </c>
      <c r="M146" s="50">
        <v>0</v>
      </c>
      <c r="N146" s="50">
        <v>0</v>
      </c>
      <c r="O146" s="50">
        <f t="shared" si="62"/>
        <v>0</v>
      </c>
      <c r="P146" s="50">
        <f t="shared" si="63"/>
        <v>0</v>
      </c>
    </row>
    <row r="147" spans="1:16" ht="18.75" hidden="1" x14ac:dyDescent="0.25">
      <c r="A147" s="136"/>
      <c r="B147" s="41"/>
      <c r="C147" s="41"/>
      <c r="D147" s="41"/>
      <c r="E147" s="51" t="s">
        <v>19</v>
      </c>
      <c r="F147" s="41"/>
      <c r="G147" s="43"/>
      <c r="H147" s="147" t="s">
        <v>12</v>
      </c>
      <c r="I147" s="144"/>
      <c r="J147" s="144"/>
      <c r="K147" s="145"/>
      <c r="L147" s="47">
        <f ca="1">IFERROR(__xludf.DUMMYFUNCTION("IMPORTRANGE(""https://docs.google.com/spreadsheets/d/1-uDff_7J0KD5mKrp0Vvzr7lt3OU09vwQwhkpOPPYv2Y/edit?usp=sharing"",""งบพรบ!BT14"")"),0)</f>
        <v>0</v>
      </c>
      <c r="M147" s="47">
        <f ca="1">IFERROR(__xludf.DUMMYFUNCTION("IMPORTRANGE(""https://docs.google.com/spreadsheets/d/1-uDff_7J0KD5mKrp0Vvzr7lt3OU09vwQwhkpOPPYv2Y/edit?usp=sharing"",""งบพรบ!BW14"")"),0)</f>
        <v>0</v>
      </c>
      <c r="N147" s="47">
        <f ca="1">IFERROR(__xludf.DUMMYFUNCTION("IMPORTRANGE(""https://docs.google.com/spreadsheets/d/1-uDff_7J0KD5mKrp0Vvzr7lt3OU09vwQwhkpOPPYv2Y/edit?usp=sharing"",""งบพรบ!BY14"")"),0)</f>
        <v>0</v>
      </c>
      <c r="O147" s="47">
        <f t="shared" ca="1" si="62"/>
        <v>0</v>
      </c>
      <c r="P147" s="47">
        <f t="shared" ca="1" si="63"/>
        <v>0</v>
      </c>
    </row>
    <row r="148" spans="1:16" ht="19.5" hidden="1" x14ac:dyDescent="0.3">
      <c r="A148" s="148"/>
      <c r="B148" s="149"/>
      <c r="C148" s="137" t="s">
        <v>16</v>
      </c>
      <c r="D148" s="150" t="s">
        <v>36</v>
      </c>
      <c r="E148" s="151"/>
      <c r="F148" s="151"/>
      <c r="G148" s="152"/>
      <c r="H148" s="196"/>
      <c r="I148" s="45"/>
      <c r="J148" s="45"/>
      <c r="K148" s="46"/>
      <c r="L148" s="46"/>
      <c r="M148" s="46"/>
      <c r="N148" s="46"/>
      <c r="O148" s="46"/>
      <c r="P148" s="46"/>
    </row>
    <row r="149" spans="1:16" ht="18.75" hidden="1" x14ac:dyDescent="0.25">
      <c r="A149" s="136"/>
      <c r="B149" s="41"/>
      <c r="C149" s="41"/>
      <c r="D149" s="51" t="s">
        <v>57</v>
      </c>
      <c r="E149" s="41"/>
      <c r="F149" s="41"/>
      <c r="G149" s="43"/>
      <c r="H149" s="196"/>
      <c r="I149" s="45"/>
      <c r="J149" s="162">
        <v>0</v>
      </c>
      <c r="K149" s="46"/>
      <c r="L149" s="46"/>
      <c r="M149" s="46"/>
      <c r="N149" s="46"/>
      <c r="O149" s="46"/>
      <c r="P149" s="46"/>
    </row>
    <row r="150" spans="1:16" ht="19.5" hidden="1" x14ac:dyDescent="0.3">
      <c r="A150" s="136"/>
      <c r="B150" s="41"/>
      <c r="C150" s="41"/>
      <c r="D150" s="155"/>
      <c r="E150" s="197" t="s">
        <v>58</v>
      </c>
      <c r="F150" s="41"/>
      <c r="G150" s="43"/>
      <c r="H150" s="147" t="s">
        <v>33</v>
      </c>
      <c r="I150" s="169">
        <f ca="1">IFERROR(__xludf.DUMMYFUNCTION("IMPORTRANGE(""https://docs.google.com/spreadsheets/d/1eHaY18a8A9IcSdp1K8H6x8fbOy06t2VsZHhMHf-1x7Y/edit?usp=sharing"",""แผน!U14"")"),0)</f>
        <v>0</v>
      </c>
      <c r="J150" s="162">
        <v>0</v>
      </c>
      <c r="K150" s="47">
        <f t="shared" ref="K150:K154" ca="1" si="68">IF(I150&gt;0,J150*100/I150,0)</f>
        <v>0</v>
      </c>
      <c r="L150" s="46"/>
      <c r="M150" s="46"/>
      <c r="N150" s="46"/>
      <c r="O150" s="46"/>
      <c r="P150" s="46"/>
    </row>
    <row r="151" spans="1:16" ht="18.75" hidden="1" x14ac:dyDescent="0.25">
      <c r="A151" s="136"/>
      <c r="B151" s="41"/>
      <c r="C151" s="41"/>
      <c r="D151" s="155"/>
      <c r="E151" s="41"/>
      <c r="F151" s="41"/>
      <c r="G151" s="43"/>
      <c r="H151" s="147" t="s">
        <v>56</v>
      </c>
      <c r="I151" s="169">
        <f ca="1">IFERROR(__xludf.DUMMYFUNCTION("IMPORTRANGE(""https://docs.google.com/spreadsheets/d/1eHaY18a8A9IcSdp1K8H6x8fbOy06t2VsZHhMHf-1x7Y/edit?usp=sharing"",""แผน!V14"")"),0)</f>
        <v>0</v>
      </c>
      <c r="J151" s="162">
        <v>0</v>
      </c>
      <c r="K151" s="47">
        <f t="shared" ca="1" si="68"/>
        <v>0</v>
      </c>
      <c r="L151" s="46"/>
      <c r="M151" s="46"/>
      <c r="N151" s="46"/>
      <c r="O151" s="46"/>
      <c r="P151" s="46"/>
    </row>
    <row r="152" spans="1:16" ht="19.5" hidden="1" x14ac:dyDescent="0.3">
      <c r="A152" s="136"/>
      <c r="B152" s="41"/>
      <c r="C152" s="41"/>
      <c r="D152" s="155"/>
      <c r="E152" s="197" t="s">
        <v>59</v>
      </c>
      <c r="F152" s="41"/>
      <c r="G152" s="43"/>
      <c r="H152" s="147" t="s">
        <v>33</v>
      </c>
      <c r="I152" s="169">
        <f ca="1">IFERROR(__xludf.DUMMYFUNCTION("IMPORTRANGE(""https://docs.google.com/spreadsheets/d/1eHaY18a8A9IcSdp1K8H6x8fbOy06t2VsZHhMHf-1x7Y/edit?usp=sharing"",""แผน!W14"")"),0)</f>
        <v>0</v>
      </c>
      <c r="J152" s="162">
        <v>0</v>
      </c>
      <c r="K152" s="47">
        <f t="shared" ca="1" si="68"/>
        <v>0</v>
      </c>
      <c r="L152" s="46"/>
      <c r="M152" s="46"/>
      <c r="N152" s="46"/>
      <c r="O152" s="46"/>
      <c r="P152" s="46"/>
    </row>
    <row r="153" spans="1:16" ht="18.75" hidden="1" x14ac:dyDescent="0.25">
      <c r="A153" s="136"/>
      <c r="B153" s="41"/>
      <c r="C153" s="41"/>
      <c r="D153" s="41"/>
      <c r="E153" s="41"/>
      <c r="F153" s="41"/>
      <c r="G153" s="43"/>
      <c r="H153" s="147" t="s">
        <v>56</v>
      </c>
      <c r="I153" s="169">
        <f ca="1">IFERROR(__xludf.DUMMYFUNCTION("IMPORTRANGE(""https://docs.google.com/spreadsheets/d/1eHaY18a8A9IcSdp1K8H6x8fbOy06t2VsZHhMHf-1x7Y/edit?usp=sharing"",""แผน!X14"")"),0)</f>
        <v>0</v>
      </c>
      <c r="J153" s="162">
        <v>0</v>
      </c>
      <c r="K153" s="47">
        <f t="shared" ca="1" si="68"/>
        <v>0</v>
      </c>
      <c r="L153" s="46"/>
      <c r="M153" s="46"/>
      <c r="N153" s="46"/>
      <c r="O153" s="46"/>
      <c r="P153" s="46"/>
    </row>
    <row r="154" spans="1:16" ht="18.75" hidden="1" x14ac:dyDescent="0.25">
      <c r="A154" s="136"/>
      <c r="B154" s="41"/>
      <c r="C154" s="41"/>
      <c r="D154" s="51" t="s">
        <v>60</v>
      </c>
      <c r="E154" s="41"/>
      <c r="F154" s="41"/>
      <c r="G154" s="43"/>
      <c r="H154" s="147" t="s">
        <v>54</v>
      </c>
      <c r="I154" s="169">
        <f ca="1">IFERROR(__xludf.DUMMYFUNCTION("IMPORTRANGE(""https://docs.google.com/spreadsheets/d/1eHaY18a8A9IcSdp1K8H6x8fbOy06t2VsZHhMHf-1x7Y/edit?usp=sharing"",""แผน!Y14"")"),0)</f>
        <v>0</v>
      </c>
      <c r="J154" s="162">
        <v>0</v>
      </c>
      <c r="K154" s="47">
        <f t="shared" ca="1" si="68"/>
        <v>0</v>
      </c>
      <c r="L154" s="46"/>
      <c r="M154" s="46"/>
      <c r="N154" s="46"/>
      <c r="O154" s="46"/>
      <c r="P154" s="46"/>
    </row>
    <row r="155" spans="1:16" ht="19.5" hidden="1" x14ac:dyDescent="0.3">
      <c r="A155" s="125" t="s">
        <v>61</v>
      </c>
      <c r="B155" s="126"/>
      <c r="C155" s="190"/>
      <c r="D155" s="126"/>
      <c r="E155" s="126"/>
      <c r="F155" s="126"/>
      <c r="G155" s="126"/>
      <c r="H155" s="126"/>
      <c r="I155" s="191"/>
      <c r="J155" s="191"/>
      <c r="K155" s="192"/>
      <c r="L155" s="130"/>
      <c r="M155" s="130"/>
      <c r="N155" s="130"/>
      <c r="O155" s="130"/>
      <c r="P155" s="130"/>
    </row>
    <row r="156" spans="1:16" ht="19.5" hidden="1" x14ac:dyDescent="0.3">
      <c r="A156" s="131"/>
      <c r="B156" s="132" t="s">
        <v>62</v>
      </c>
      <c r="C156" s="26"/>
      <c r="D156" s="26"/>
      <c r="E156" s="26"/>
      <c r="F156" s="26"/>
      <c r="G156" s="29"/>
      <c r="H156" s="198" t="s">
        <v>33</v>
      </c>
      <c r="I156" s="135">
        <f t="shared" ref="I156:J156" ca="1" si="69">I169</f>
        <v>0</v>
      </c>
      <c r="J156" s="135">
        <f t="shared" si="69"/>
        <v>0</v>
      </c>
      <c r="K156" s="33">
        <f ca="1">IF(I156&gt;0,J156*100/I156,0)</f>
        <v>0</v>
      </c>
      <c r="L156" s="32"/>
      <c r="M156" s="32"/>
      <c r="N156" s="32"/>
      <c r="O156" s="32"/>
      <c r="P156" s="32"/>
    </row>
    <row r="157" spans="1:16" ht="19.5" hidden="1" x14ac:dyDescent="0.3">
      <c r="A157" s="136"/>
      <c r="B157" s="41"/>
      <c r="C157" s="137" t="s">
        <v>16</v>
      </c>
      <c r="D157" s="138" t="s">
        <v>17</v>
      </c>
      <c r="E157" s="41"/>
      <c r="F157" s="41"/>
      <c r="G157" s="43"/>
      <c r="H157" s="139" t="s">
        <v>12</v>
      </c>
      <c r="I157" s="45"/>
      <c r="J157" s="45"/>
      <c r="K157" s="46"/>
      <c r="L157" s="140">
        <f t="shared" ref="L157:N157" ca="1" si="70">L158+L159</f>
        <v>0</v>
      </c>
      <c r="M157" s="140">
        <f t="shared" ca="1" si="70"/>
        <v>0</v>
      </c>
      <c r="N157" s="140">
        <f t="shared" ca="1" si="70"/>
        <v>0</v>
      </c>
      <c r="O157" s="140">
        <f t="shared" ref="O157:O165" ca="1" si="71">IF(L157&gt;0,N157*100/L157,0)</f>
        <v>0</v>
      </c>
      <c r="P157" s="140">
        <f t="shared" ref="P157:P165" ca="1" si="72">IF(M157&gt;0,N157*100/M157,0)</f>
        <v>0</v>
      </c>
    </row>
    <row r="158" spans="1:16" ht="18.75" hidden="1" x14ac:dyDescent="0.25">
      <c r="A158" s="136"/>
      <c r="B158" s="41"/>
      <c r="C158" s="41"/>
      <c r="D158" s="41"/>
      <c r="E158" s="48" t="s">
        <v>18</v>
      </c>
      <c r="F158" s="41"/>
      <c r="G158" s="43"/>
      <c r="H158" s="141" t="s">
        <v>12</v>
      </c>
      <c r="I158" s="45"/>
      <c r="J158" s="45"/>
      <c r="K158" s="46"/>
      <c r="L158" s="50">
        <f t="shared" ref="L158:N158" si="73">L161+L164</f>
        <v>0</v>
      </c>
      <c r="M158" s="50">
        <f t="shared" si="73"/>
        <v>0</v>
      </c>
      <c r="N158" s="50">
        <f t="shared" si="73"/>
        <v>0</v>
      </c>
      <c r="O158" s="50">
        <f t="shared" si="71"/>
        <v>0</v>
      </c>
      <c r="P158" s="50">
        <f t="shared" si="72"/>
        <v>0</v>
      </c>
    </row>
    <row r="159" spans="1:16" ht="18.75" hidden="1" x14ac:dyDescent="0.25">
      <c r="A159" s="136"/>
      <c r="B159" s="41"/>
      <c r="C159" s="41"/>
      <c r="D159" s="41"/>
      <c r="E159" s="51" t="s">
        <v>19</v>
      </c>
      <c r="F159" s="41"/>
      <c r="G159" s="43"/>
      <c r="H159" s="142" t="s">
        <v>12</v>
      </c>
      <c r="I159" s="45"/>
      <c r="J159" s="45"/>
      <c r="K159" s="46"/>
      <c r="L159" s="47">
        <f t="shared" ref="L159:N159" ca="1" si="74">L162+L165</f>
        <v>0</v>
      </c>
      <c r="M159" s="47">
        <f t="shared" ca="1" si="74"/>
        <v>0</v>
      </c>
      <c r="N159" s="47">
        <f t="shared" ca="1" si="74"/>
        <v>0</v>
      </c>
      <c r="O159" s="47">
        <f t="shared" ca="1" si="71"/>
        <v>0</v>
      </c>
      <c r="P159" s="47">
        <f t="shared" ca="1" si="72"/>
        <v>0</v>
      </c>
    </row>
    <row r="160" spans="1:16" ht="18.75" hidden="1" x14ac:dyDescent="0.25">
      <c r="A160" s="136"/>
      <c r="B160" s="41"/>
      <c r="C160" s="41"/>
      <c r="D160" s="42" t="s">
        <v>20</v>
      </c>
      <c r="E160" s="41"/>
      <c r="F160" s="41"/>
      <c r="G160" s="43"/>
      <c r="H160" s="143" t="s">
        <v>12</v>
      </c>
      <c r="I160" s="144"/>
      <c r="J160" s="144"/>
      <c r="K160" s="145"/>
      <c r="L160" s="47">
        <f t="shared" ref="L160:N160" ca="1" si="75">L161+L162</f>
        <v>0</v>
      </c>
      <c r="M160" s="47">
        <f t="shared" ca="1" si="75"/>
        <v>0</v>
      </c>
      <c r="N160" s="47">
        <f t="shared" ca="1" si="75"/>
        <v>0</v>
      </c>
      <c r="O160" s="47">
        <f t="shared" ca="1" si="71"/>
        <v>0</v>
      </c>
      <c r="P160" s="47">
        <f t="shared" ca="1" si="72"/>
        <v>0</v>
      </c>
    </row>
    <row r="161" spans="1:16" ht="18.75" hidden="1" x14ac:dyDescent="0.25">
      <c r="A161" s="136"/>
      <c r="B161" s="41"/>
      <c r="C161" s="41"/>
      <c r="D161" s="41"/>
      <c r="E161" s="48" t="s">
        <v>34</v>
      </c>
      <c r="F161" s="41"/>
      <c r="G161" s="43"/>
      <c r="H161" s="146" t="s">
        <v>12</v>
      </c>
      <c r="I161" s="144"/>
      <c r="J161" s="144"/>
      <c r="K161" s="145"/>
      <c r="L161" s="50">
        <v>0</v>
      </c>
      <c r="M161" s="50">
        <v>0</v>
      </c>
      <c r="N161" s="50">
        <v>0</v>
      </c>
      <c r="O161" s="50">
        <f t="shared" si="71"/>
        <v>0</v>
      </c>
      <c r="P161" s="50">
        <f t="shared" si="72"/>
        <v>0</v>
      </c>
    </row>
    <row r="162" spans="1:16" ht="18.75" hidden="1" x14ac:dyDescent="0.25">
      <c r="A162" s="136"/>
      <c r="B162" s="41"/>
      <c r="C162" s="41"/>
      <c r="D162" s="41"/>
      <c r="E162" s="51" t="s">
        <v>35</v>
      </c>
      <c r="F162" s="41"/>
      <c r="G162" s="43"/>
      <c r="H162" s="143" t="s">
        <v>12</v>
      </c>
      <c r="I162" s="144"/>
      <c r="J162" s="144"/>
      <c r="K162" s="145"/>
      <c r="L162" s="47">
        <f ca="1">IFERROR(__xludf.DUMMYFUNCTION("IMPORTRANGE(""https://docs.google.com/spreadsheets/d/1-uDff_7J0KD5mKrp0Vvzr7lt3OU09vwQwhkpOPPYv2Y/edit?usp=sharing"",""งบพรบ!CA14"")"),0)</f>
        <v>0</v>
      </c>
      <c r="M162" s="47">
        <f ca="1">IFERROR(__xludf.DUMMYFUNCTION("IMPORTRANGE(""https://docs.google.com/spreadsheets/d/1-uDff_7J0KD5mKrp0Vvzr7lt3OU09vwQwhkpOPPYv2Y/edit?usp=sharing"",""งบพรบ!CF14"")"),0)</f>
        <v>0</v>
      </c>
      <c r="N162" s="47">
        <f ca="1">IFERROR(__xludf.DUMMYFUNCTION("IMPORTRANGE(""https://docs.google.com/spreadsheets/d/1-uDff_7J0KD5mKrp0Vvzr7lt3OU09vwQwhkpOPPYv2Y/edit?usp=sharing"",""งบพรบ!CH14"")"),0)</f>
        <v>0</v>
      </c>
      <c r="O162" s="47">
        <f t="shared" ca="1" si="71"/>
        <v>0</v>
      </c>
      <c r="P162" s="47">
        <f t="shared" ca="1" si="72"/>
        <v>0</v>
      </c>
    </row>
    <row r="163" spans="1:16" ht="18.75" hidden="1" x14ac:dyDescent="0.25">
      <c r="A163" s="136"/>
      <c r="B163" s="41"/>
      <c r="C163" s="41"/>
      <c r="D163" s="42" t="s">
        <v>21</v>
      </c>
      <c r="E163" s="41"/>
      <c r="F163" s="41"/>
      <c r="G163" s="43"/>
      <c r="H163" s="147" t="s">
        <v>12</v>
      </c>
      <c r="I163" s="144"/>
      <c r="J163" s="144"/>
      <c r="K163" s="145"/>
      <c r="L163" s="47">
        <f t="shared" ref="L163:N163" ca="1" si="76">L164+L165</f>
        <v>0</v>
      </c>
      <c r="M163" s="47">
        <f t="shared" ca="1" si="76"/>
        <v>0</v>
      </c>
      <c r="N163" s="47">
        <f t="shared" ca="1" si="76"/>
        <v>0</v>
      </c>
      <c r="O163" s="47">
        <f t="shared" ca="1" si="71"/>
        <v>0</v>
      </c>
      <c r="P163" s="47">
        <f t="shared" ca="1" si="72"/>
        <v>0</v>
      </c>
    </row>
    <row r="164" spans="1:16" ht="18.75" hidden="1" x14ac:dyDescent="0.25">
      <c r="A164" s="136"/>
      <c r="B164" s="41"/>
      <c r="C164" s="41"/>
      <c r="D164" s="41"/>
      <c r="E164" s="48" t="s">
        <v>18</v>
      </c>
      <c r="F164" s="41"/>
      <c r="G164" s="43"/>
      <c r="H164" s="146" t="s">
        <v>12</v>
      </c>
      <c r="I164" s="144"/>
      <c r="J164" s="144"/>
      <c r="K164" s="145"/>
      <c r="L164" s="50">
        <v>0</v>
      </c>
      <c r="M164" s="50">
        <v>0</v>
      </c>
      <c r="N164" s="50">
        <v>0</v>
      </c>
      <c r="O164" s="50">
        <f t="shared" si="71"/>
        <v>0</v>
      </c>
      <c r="P164" s="50">
        <f t="shared" si="72"/>
        <v>0</v>
      </c>
    </row>
    <row r="165" spans="1:16" ht="18.75" hidden="1" x14ac:dyDescent="0.25">
      <c r="A165" s="136"/>
      <c r="B165" s="41"/>
      <c r="C165" s="41"/>
      <c r="D165" s="41"/>
      <c r="E165" s="51" t="s">
        <v>19</v>
      </c>
      <c r="F165" s="41"/>
      <c r="G165" s="43"/>
      <c r="H165" s="147" t="s">
        <v>12</v>
      </c>
      <c r="I165" s="144"/>
      <c r="J165" s="144"/>
      <c r="K165" s="145"/>
      <c r="L165" s="47">
        <f ca="1">IFERROR(__xludf.DUMMYFUNCTION("IMPORTRANGE(""https://docs.google.com/spreadsheets/d/1-uDff_7J0KD5mKrp0Vvzr7lt3OU09vwQwhkpOPPYv2Y/edit?usp=sharing"",""งบพรบ!CD14"")"),0)</f>
        <v>0</v>
      </c>
      <c r="M165" s="47">
        <f ca="1">IFERROR(__xludf.DUMMYFUNCTION("IMPORTRANGE(""https://docs.google.com/spreadsheets/d/1-uDff_7J0KD5mKrp0Vvzr7lt3OU09vwQwhkpOPPYv2Y/edit?usp=sharing"",""งบพรบ!CG14"")"),0)</f>
        <v>0</v>
      </c>
      <c r="N165" s="47">
        <f ca="1">IFERROR(__xludf.DUMMYFUNCTION("IMPORTRANGE(""https://docs.google.com/spreadsheets/d/1-uDff_7J0KD5mKrp0Vvzr7lt3OU09vwQwhkpOPPYv2Y/edit?usp=sharing"",""งบพรบ!CI14"")"),0)</f>
        <v>0</v>
      </c>
      <c r="O165" s="47">
        <f t="shared" ca="1" si="71"/>
        <v>0</v>
      </c>
      <c r="P165" s="47">
        <f t="shared" ca="1" si="72"/>
        <v>0</v>
      </c>
    </row>
    <row r="166" spans="1:16" ht="19.5" hidden="1" x14ac:dyDescent="0.3">
      <c r="A166" s="148"/>
      <c r="B166" s="149"/>
      <c r="C166" s="137" t="s">
        <v>16</v>
      </c>
      <c r="D166" s="150" t="s">
        <v>36</v>
      </c>
      <c r="E166" s="151"/>
      <c r="F166" s="151"/>
      <c r="G166" s="152"/>
      <c r="H166" s="196"/>
      <c r="I166" s="45"/>
      <c r="J166" s="45"/>
      <c r="K166" s="46"/>
      <c r="L166" s="46"/>
      <c r="M166" s="46"/>
      <c r="N166" s="46"/>
      <c r="O166" s="46"/>
      <c r="P166" s="46"/>
    </row>
    <row r="167" spans="1:16" ht="18.75" hidden="1" x14ac:dyDescent="0.25">
      <c r="A167" s="136"/>
      <c r="B167" s="41"/>
      <c r="C167" s="41"/>
      <c r="D167" s="51" t="s">
        <v>63</v>
      </c>
      <c r="E167" s="41"/>
      <c r="F167" s="41"/>
      <c r="G167" s="43"/>
      <c r="H167" s="147" t="s">
        <v>33</v>
      </c>
      <c r="I167" s="169">
        <f ca="1">IFERROR(__xludf.DUMMYFUNCTION("IMPORTRANGE(""https://docs.google.com/spreadsheets/d/1eHaY18a8A9IcSdp1K8H6x8fbOy06t2VsZHhMHf-1x7Y/edit?usp=sharing"",""แผน!Z14"")"),0)</f>
        <v>0</v>
      </c>
      <c r="J167" s="162">
        <v>0</v>
      </c>
      <c r="K167" s="47">
        <f t="shared" ref="K167:K169" ca="1" si="77">IF(I167&gt;0,J167*100/I167,0)</f>
        <v>0</v>
      </c>
      <c r="L167" s="46"/>
      <c r="M167" s="46"/>
      <c r="N167" s="46"/>
      <c r="O167" s="46"/>
      <c r="P167" s="46"/>
    </row>
    <row r="168" spans="1:16" ht="18.75" hidden="1" x14ac:dyDescent="0.25">
      <c r="A168" s="136"/>
      <c r="B168" s="41"/>
      <c r="C168" s="41"/>
      <c r="D168" s="48" t="s">
        <v>64</v>
      </c>
      <c r="E168" s="41"/>
      <c r="F168" s="41"/>
      <c r="G168" s="43"/>
      <c r="H168" s="199" t="s">
        <v>33</v>
      </c>
      <c r="I168" s="200">
        <f ca="1">IFERROR(__xludf.DUMMYFUNCTION("IMPORTRANGE(""https://docs.google.com/spreadsheets/d/1eHaY18a8A9IcSdp1K8H6x8fbOy06t2VsZHhMHf-1x7Y/edit?usp=sharing"",""แผน!Z14"")"),0)</f>
        <v>0</v>
      </c>
      <c r="J168" s="201">
        <v>0</v>
      </c>
      <c r="K168" s="50">
        <f t="shared" ca="1" si="77"/>
        <v>0</v>
      </c>
      <c r="L168" s="46"/>
      <c r="M168" s="46"/>
      <c r="N168" s="46"/>
      <c r="O168" s="46"/>
      <c r="P168" s="46"/>
    </row>
    <row r="169" spans="1:16" ht="18.75" hidden="1" x14ac:dyDescent="0.25">
      <c r="A169" s="202"/>
      <c r="B169" s="1"/>
      <c r="C169" s="1"/>
      <c r="D169" s="203" t="s">
        <v>65</v>
      </c>
      <c r="E169" s="1"/>
      <c r="F169" s="1"/>
      <c r="G169" s="54"/>
      <c r="H169" s="204" t="s">
        <v>33</v>
      </c>
      <c r="I169" s="205">
        <f ca="1">IFERROR(__xludf.DUMMYFUNCTION("IMPORTRANGE(""https://docs.google.com/spreadsheets/d/1eHaY18a8A9IcSdp1K8H6x8fbOy06t2VsZHhMHf-1x7Y/edit?usp=sharing"",""แผน!Z14"")"),0)</f>
        <v>0</v>
      </c>
      <c r="J169" s="206">
        <v>0</v>
      </c>
      <c r="K169" s="207">
        <f t="shared" ca="1" si="77"/>
        <v>0</v>
      </c>
      <c r="L169" s="57"/>
      <c r="M169" s="57"/>
      <c r="N169" s="57"/>
      <c r="O169" s="57"/>
      <c r="P169" s="57"/>
    </row>
    <row r="170" spans="1:16" ht="19.5" x14ac:dyDescent="0.3">
      <c r="A170" s="208" t="s">
        <v>66</v>
      </c>
      <c r="B170" s="209"/>
      <c r="C170" s="209"/>
      <c r="D170" s="209"/>
      <c r="E170" s="210"/>
      <c r="F170" s="210"/>
      <c r="G170" s="210"/>
      <c r="H170" s="210"/>
      <c r="I170" s="211"/>
      <c r="J170" s="211"/>
      <c r="K170" s="212"/>
      <c r="L170" s="212"/>
      <c r="M170" s="212"/>
      <c r="N170" s="212"/>
      <c r="O170" s="212"/>
      <c r="P170" s="213"/>
    </row>
    <row r="171" spans="1:16" ht="19.5" x14ac:dyDescent="0.3">
      <c r="A171" s="214" t="s">
        <v>67</v>
      </c>
      <c r="B171" s="215"/>
      <c r="C171" s="215"/>
      <c r="D171" s="216"/>
      <c r="E171" s="216"/>
      <c r="F171" s="216"/>
      <c r="G171" s="216"/>
      <c r="H171" s="217"/>
      <c r="I171" s="218"/>
      <c r="J171" s="218"/>
      <c r="K171" s="219"/>
      <c r="L171" s="219"/>
      <c r="M171" s="219"/>
      <c r="N171" s="219"/>
      <c r="O171" s="219"/>
      <c r="P171" s="219"/>
    </row>
    <row r="172" spans="1:16" ht="19.5" x14ac:dyDescent="0.3">
      <c r="A172" s="220"/>
      <c r="B172" s="221" t="s">
        <v>68</v>
      </c>
      <c r="C172" s="222"/>
      <c r="D172" s="151"/>
      <c r="E172" s="151"/>
      <c r="F172" s="151"/>
      <c r="G172" s="152"/>
      <c r="H172" s="223" t="s">
        <v>33</v>
      </c>
      <c r="I172" s="224">
        <f t="shared" ref="I172:J172" ca="1" si="78">I183+I184</f>
        <v>7</v>
      </c>
      <c r="J172" s="224">
        <f t="shared" si="78"/>
        <v>0</v>
      </c>
      <c r="K172" s="225">
        <f ca="1">IF(I172&gt;0,J172*100/I172,0)</f>
        <v>0</v>
      </c>
      <c r="L172" s="226"/>
      <c r="M172" s="226"/>
      <c r="N172" s="226"/>
      <c r="O172" s="226"/>
      <c r="P172" s="226"/>
    </row>
    <row r="173" spans="1:16" ht="19.5" x14ac:dyDescent="0.3">
      <c r="A173" s="136"/>
      <c r="B173" s="41"/>
      <c r="C173" s="137" t="s">
        <v>16</v>
      </c>
      <c r="D173" s="138" t="s">
        <v>17</v>
      </c>
      <c r="E173" s="41"/>
      <c r="F173" s="41"/>
      <c r="G173" s="43"/>
      <c r="H173" s="139" t="s">
        <v>12</v>
      </c>
      <c r="I173" s="45"/>
      <c r="J173" s="45"/>
      <c r="K173" s="46"/>
      <c r="L173" s="140">
        <f t="shared" ref="L173:N173" ca="1" si="79">L174+L175</f>
        <v>19590</v>
      </c>
      <c r="M173" s="140">
        <f t="shared" ca="1" si="79"/>
        <v>19590</v>
      </c>
      <c r="N173" s="140">
        <f t="shared" ca="1" si="79"/>
        <v>0</v>
      </c>
      <c r="O173" s="140">
        <f t="shared" ref="O173:O181" ca="1" si="80">IF(L173&gt;0,N173*100/L173,0)</f>
        <v>0</v>
      </c>
      <c r="P173" s="140">
        <f t="shared" ref="P173:P181" ca="1" si="81">IF(M173&gt;0,N173*100/M173,0)</f>
        <v>0</v>
      </c>
    </row>
    <row r="174" spans="1:16" ht="18.75" hidden="1" x14ac:dyDescent="0.25">
      <c r="A174" s="136"/>
      <c r="B174" s="41"/>
      <c r="C174" s="41"/>
      <c r="D174" s="41"/>
      <c r="E174" s="48" t="s">
        <v>18</v>
      </c>
      <c r="F174" s="41"/>
      <c r="G174" s="43"/>
      <c r="H174" s="141" t="s">
        <v>12</v>
      </c>
      <c r="I174" s="45"/>
      <c r="J174" s="45"/>
      <c r="K174" s="46"/>
      <c r="L174" s="50">
        <f t="shared" ref="L174:N174" si="82">L177+L180</f>
        <v>0</v>
      </c>
      <c r="M174" s="50">
        <f t="shared" si="82"/>
        <v>0</v>
      </c>
      <c r="N174" s="50">
        <f t="shared" si="82"/>
        <v>0</v>
      </c>
      <c r="O174" s="50">
        <f t="shared" si="80"/>
        <v>0</v>
      </c>
      <c r="P174" s="50">
        <f t="shared" si="81"/>
        <v>0</v>
      </c>
    </row>
    <row r="175" spans="1:16" ht="18.75" x14ac:dyDescent="0.25">
      <c r="A175" s="136"/>
      <c r="B175" s="41"/>
      <c r="C175" s="41"/>
      <c r="D175" s="41"/>
      <c r="E175" s="51" t="s">
        <v>19</v>
      </c>
      <c r="F175" s="41"/>
      <c r="G175" s="43"/>
      <c r="H175" s="142" t="s">
        <v>12</v>
      </c>
      <c r="I175" s="45"/>
      <c r="J175" s="45"/>
      <c r="K175" s="46"/>
      <c r="L175" s="47">
        <f t="shared" ref="L175:N175" ca="1" si="83">L178+L181</f>
        <v>19590</v>
      </c>
      <c r="M175" s="47">
        <f t="shared" ca="1" si="83"/>
        <v>19590</v>
      </c>
      <c r="N175" s="47">
        <f t="shared" ca="1" si="83"/>
        <v>0</v>
      </c>
      <c r="O175" s="47">
        <f t="shared" ca="1" si="80"/>
        <v>0</v>
      </c>
      <c r="P175" s="47">
        <f t="shared" ca="1" si="81"/>
        <v>0</v>
      </c>
    </row>
    <row r="176" spans="1:16" ht="18.75" x14ac:dyDescent="0.25">
      <c r="A176" s="136"/>
      <c r="B176" s="41"/>
      <c r="C176" s="41"/>
      <c r="D176" s="42" t="s">
        <v>20</v>
      </c>
      <c r="E176" s="41"/>
      <c r="F176" s="41"/>
      <c r="G176" s="43"/>
      <c r="H176" s="143" t="s">
        <v>12</v>
      </c>
      <c r="I176" s="144"/>
      <c r="J176" s="144"/>
      <c r="K176" s="145"/>
      <c r="L176" s="47">
        <f t="shared" ref="L176:N176" ca="1" si="84">L177+L178</f>
        <v>19590</v>
      </c>
      <c r="M176" s="47">
        <f t="shared" ca="1" si="84"/>
        <v>19590</v>
      </c>
      <c r="N176" s="47">
        <f t="shared" ca="1" si="84"/>
        <v>0</v>
      </c>
      <c r="O176" s="47">
        <f t="shared" ca="1" si="80"/>
        <v>0</v>
      </c>
      <c r="P176" s="47">
        <f t="shared" ca="1" si="81"/>
        <v>0</v>
      </c>
    </row>
    <row r="177" spans="1:16" ht="18.75" hidden="1" x14ac:dyDescent="0.25">
      <c r="A177" s="136"/>
      <c r="B177" s="41"/>
      <c r="C177" s="41"/>
      <c r="D177" s="41"/>
      <c r="E177" s="48" t="s">
        <v>34</v>
      </c>
      <c r="F177" s="41"/>
      <c r="G177" s="43"/>
      <c r="H177" s="146" t="s">
        <v>12</v>
      </c>
      <c r="I177" s="144"/>
      <c r="J177" s="144"/>
      <c r="K177" s="145"/>
      <c r="L177" s="50">
        <v>0</v>
      </c>
      <c r="M177" s="50">
        <v>0</v>
      </c>
      <c r="N177" s="50">
        <v>0</v>
      </c>
      <c r="O177" s="50">
        <f t="shared" si="80"/>
        <v>0</v>
      </c>
      <c r="P177" s="50">
        <f t="shared" si="81"/>
        <v>0</v>
      </c>
    </row>
    <row r="178" spans="1:16" ht="18.75" x14ac:dyDescent="0.25">
      <c r="A178" s="136"/>
      <c r="B178" s="41"/>
      <c r="C178" s="41"/>
      <c r="D178" s="41"/>
      <c r="E178" s="51" t="s">
        <v>35</v>
      </c>
      <c r="F178" s="41"/>
      <c r="G178" s="43"/>
      <c r="H178" s="143" t="s">
        <v>12</v>
      </c>
      <c r="I178" s="144"/>
      <c r="J178" s="144"/>
      <c r="K178" s="145"/>
      <c r="L178" s="47">
        <f ca="1">IFERROR(__xludf.DUMMYFUNCTION("IMPORTRANGE(""https://docs.google.com/spreadsheets/d/1-uDff_7J0KD5mKrp0Vvzr7lt3OU09vwQwhkpOPPYv2Y/edit?usp=sharing"",""งบพรบ!CK14"")"),19590)</f>
        <v>19590</v>
      </c>
      <c r="M178" s="47">
        <f ca="1">IFERROR(__xludf.DUMMYFUNCTION("IMPORTRANGE(""https://docs.google.com/spreadsheets/d/1-uDff_7J0KD5mKrp0Vvzr7lt3OU09vwQwhkpOPPYv2Y/edit?usp=sharing"",""งบพรบ!CP14"")"),19590)</f>
        <v>19590</v>
      </c>
      <c r="N178" s="47">
        <f ca="1">IFERROR(__xludf.DUMMYFUNCTION("IMPORTRANGE(""https://docs.google.com/spreadsheets/d/1-uDff_7J0KD5mKrp0Vvzr7lt3OU09vwQwhkpOPPYv2Y/edit?usp=sharing"",""งบพรบ!CR14"")"),0)</f>
        <v>0</v>
      </c>
      <c r="O178" s="47">
        <f t="shared" ca="1" si="80"/>
        <v>0</v>
      </c>
      <c r="P178" s="47">
        <f t="shared" ca="1" si="81"/>
        <v>0</v>
      </c>
    </row>
    <row r="179" spans="1:16" ht="18.75" x14ac:dyDescent="0.25">
      <c r="A179" s="136"/>
      <c r="B179" s="41"/>
      <c r="C179" s="41"/>
      <c r="D179" s="42" t="s">
        <v>21</v>
      </c>
      <c r="E179" s="41"/>
      <c r="F179" s="41"/>
      <c r="G179" s="43"/>
      <c r="H179" s="147" t="s">
        <v>12</v>
      </c>
      <c r="I179" s="144"/>
      <c r="J179" s="144"/>
      <c r="K179" s="145"/>
      <c r="L179" s="47">
        <f t="shared" ref="L179:N179" ca="1" si="85">L180+L181</f>
        <v>0</v>
      </c>
      <c r="M179" s="47">
        <f t="shared" ca="1" si="85"/>
        <v>0</v>
      </c>
      <c r="N179" s="47">
        <f t="shared" ca="1" si="85"/>
        <v>0</v>
      </c>
      <c r="O179" s="47">
        <f t="shared" ca="1" si="80"/>
        <v>0</v>
      </c>
      <c r="P179" s="47">
        <f t="shared" ca="1" si="81"/>
        <v>0</v>
      </c>
    </row>
    <row r="180" spans="1:16" ht="18.75" hidden="1" x14ac:dyDescent="0.25">
      <c r="A180" s="136"/>
      <c r="B180" s="41"/>
      <c r="C180" s="41"/>
      <c r="D180" s="41"/>
      <c r="E180" s="48" t="s">
        <v>18</v>
      </c>
      <c r="F180" s="41"/>
      <c r="G180" s="43"/>
      <c r="H180" s="146" t="s">
        <v>12</v>
      </c>
      <c r="I180" s="144"/>
      <c r="J180" s="144"/>
      <c r="K180" s="145"/>
      <c r="L180" s="50">
        <v>0</v>
      </c>
      <c r="M180" s="50">
        <v>0</v>
      </c>
      <c r="N180" s="50">
        <v>0</v>
      </c>
      <c r="O180" s="50">
        <f t="shared" si="80"/>
        <v>0</v>
      </c>
      <c r="P180" s="50">
        <f t="shared" si="81"/>
        <v>0</v>
      </c>
    </row>
    <row r="181" spans="1:16" ht="18.75" x14ac:dyDescent="0.25">
      <c r="A181" s="136"/>
      <c r="B181" s="41"/>
      <c r="C181" s="41"/>
      <c r="D181" s="41"/>
      <c r="E181" s="51" t="s">
        <v>19</v>
      </c>
      <c r="F181" s="41"/>
      <c r="G181" s="43"/>
      <c r="H181" s="147" t="s">
        <v>12</v>
      </c>
      <c r="I181" s="144"/>
      <c r="J181" s="144"/>
      <c r="K181" s="145"/>
      <c r="L181" s="47">
        <f ca="1">IFERROR(__xludf.DUMMYFUNCTION("IMPORTRANGE(""https://docs.google.com/spreadsheets/d/1-uDff_7J0KD5mKrp0Vvzr7lt3OU09vwQwhkpOPPYv2Y/edit?usp=sharing"",""งบพรบ!CN14"")"),0)</f>
        <v>0</v>
      </c>
      <c r="M181" s="47">
        <f ca="1">IFERROR(__xludf.DUMMYFUNCTION("IMPORTRANGE(""https://docs.google.com/spreadsheets/d/1-uDff_7J0KD5mKrp0Vvzr7lt3OU09vwQwhkpOPPYv2Y/edit?usp=sharing"",""งบพรบ!CQ14"")"),0)</f>
        <v>0</v>
      </c>
      <c r="N181" s="47">
        <f ca="1">IFERROR(__xludf.DUMMYFUNCTION("IMPORTRANGE(""https://docs.google.com/spreadsheets/d/1-uDff_7J0KD5mKrp0Vvzr7lt3OU09vwQwhkpOPPYv2Y/edit?usp=sharing"",""งบพรบ!CS14"")"),0)</f>
        <v>0</v>
      </c>
      <c r="O181" s="47">
        <f t="shared" ca="1" si="80"/>
        <v>0</v>
      </c>
      <c r="P181" s="47">
        <f t="shared" ca="1" si="81"/>
        <v>0</v>
      </c>
    </row>
    <row r="182" spans="1:16" ht="19.5" x14ac:dyDescent="0.3">
      <c r="A182" s="148"/>
      <c r="B182" s="149"/>
      <c r="C182" s="137" t="s">
        <v>16</v>
      </c>
      <c r="D182" s="150" t="s">
        <v>36</v>
      </c>
      <c r="E182" s="151"/>
      <c r="F182" s="151"/>
      <c r="G182" s="152"/>
      <c r="H182" s="196"/>
      <c r="I182" s="45"/>
      <c r="J182" s="45"/>
      <c r="K182" s="46"/>
      <c r="L182" s="46"/>
      <c r="M182" s="46"/>
      <c r="N182" s="46"/>
      <c r="O182" s="46"/>
      <c r="P182" s="46"/>
    </row>
    <row r="183" spans="1:16" ht="18.75" x14ac:dyDescent="0.25">
      <c r="A183" s="227"/>
      <c r="B183" s="41"/>
      <c r="C183" s="228"/>
      <c r="D183" s="229" t="s">
        <v>69</v>
      </c>
      <c r="E183" s="41"/>
      <c r="F183" s="41"/>
      <c r="G183" s="43"/>
      <c r="H183" s="230" t="s">
        <v>33</v>
      </c>
      <c r="I183" s="169">
        <f ca="1">IFERROR(__xludf.DUMMYFUNCTION("IMPORTRANGE(""https://docs.google.com/spreadsheets/d/1eHaY18a8A9IcSdp1K8H6x8fbOy06t2VsZHhMHf-1x7Y/edit?usp=sharing"",""แผน!AA14"")"),7)</f>
        <v>7</v>
      </c>
      <c r="J183" s="162">
        <v>0</v>
      </c>
      <c r="K183" s="47">
        <f t="shared" ref="K183:K185" ca="1" si="86">IF(I183&gt;0,J183*100/I183,0)</f>
        <v>0</v>
      </c>
      <c r="L183" s="46"/>
      <c r="M183" s="46"/>
      <c r="N183" s="46"/>
      <c r="O183" s="46"/>
      <c r="P183" s="46"/>
    </row>
    <row r="184" spans="1:16" ht="18.75" hidden="1" x14ac:dyDescent="0.25">
      <c r="A184" s="227"/>
      <c r="B184" s="228"/>
      <c r="C184" s="228"/>
      <c r="D184" s="231" t="s">
        <v>70</v>
      </c>
      <c r="E184" s="41"/>
      <c r="F184" s="41"/>
      <c r="G184" s="43"/>
      <c r="H184" s="232" t="s">
        <v>33</v>
      </c>
      <c r="I184" s="200">
        <v>0</v>
      </c>
      <c r="J184" s="200">
        <v>0</v>
      </c>
      <c r="K184" s="50">
        <f t="shared" si="86"/>
        <v>0</v>
      </c>
      <c r="L184" s="46"/>
      <c r="M184" s="46"/>
      <c r="N184" s="46"/>
      <c r="O184" s="46"/>
      <c r="P184" s="46"/>
    </row>
    <row r="185" spans="1:16" ht="19.5" x14ac:dyDescent="0.3">
      <c r="A185" s="220"/>
      <c r="B185" s="221" t="s">
        <v>71</v>
      </c>
      <c r="C185" s="222"/>
      <c r="D185" s="151"/>
      <c r="E185" s="151"/>
      <c r="F185" s="151"/>
      <c r="G185" s="152"/>
      <c r="H185" s="223" t="s">
        <v>33</v>
      </c>
      <c r="I185" s="224">
        <f t="shared" ref="I185:J185" ca="1" si="87">I230+I231</f>
        <v>0</v>
      </c>
      <c r="J185" s="224">
        <f t="shared" si="87"/>
        <v>0</v>
      </c>
      <c r="K185" s="225">
        <f t="shared" ca="1" si="86"/>
        <v>0</v>
      </c>
      <c r="L185" s="226"/>
      <c r="M185" s="226"/>
      <c r="N185" s="226"/>
      <c r="O185" s="226"/>
      <c r="P185" s="226"/>
    </row>
    <row r="186" spans="1:16" ht="19.5" x14ac:dyDescent="0.3">
      <c r="A186" s="136"/>
      <c r="B186" s="41"/>
      <c r="C186" s="137" t="s">
        <v>16</v>
      </c>
      <c r="D186" s="138" t="s">
        <v>17</v>
      </c>
      <c r="E186" s="41"/>
      <c r="F186" s="41"/>
      <c r="G186" s="43"/>
      <c r="H186" s="139" t="s">
        <v>12</v>
      </c>
      <c r="I186" s="45"/>
      <c r="J186" s="45"/>
      <c r="K186" s="46"/>
      <c r="L186" s="140">
        <f t="shared" ref="L186:N186" ca="1" si="88">L187+L188</f>
        <v>235500</v>
      </c>
      <c r="M186" s="140">
        <f t="shared" ca="1" si="88"/>
        <v>161500</v>
      </c>
      <c r="N186" s="140">
        <f t="shared" ca="1" si="88"/>
        <v>26000</v>
      </c>
      <c r="O186" s="140">
        <f t="shared" ref="O186:O194" ca="1" si="89">IF(L186&gt;0,N186*100/L186,0)</f>
        <v>11.040339702760084</v>
      </c>
      <c r="P186" s="140">
        <f t="shared" ref="P186:P194" ca="1" si="90">IF(M186&gt;0,N186*100/M186,0)</f>
        <v>16.099071207430342</v>
      </c>
    </row>
    <row r="187" spans="1:16" ht="18.75" hidden="1" x14ac:dyDescent="0.25">
      <c r="A187" s="136"/>
      <c r="B187" s="41"/>
      <c r="C187" s="41"/>
      <c r="D187" s="41"/>
      <c r="E187" s="48" t="s">
        <v>18</v>
      </c>
      <c r="F187" s="41"/>
      <c r="G187" s="43"/>
      <c r="H187" s="141" t="s">
        <v>12</v>
      </c>
      <c r="I187" s="45"/>
      <c r="J187" s="45"/>
      <c r="K187" s="46"/>
      <c r="L187" s="50">
        <f t="shared" ref="L187:N187" si="91">L190+L193</f>
        <v>0</v>
      </c>
      <c r="M187" s="50">
        <f t="shared" si="91"/>
        <v>0</v>
      </c>
      <c r="N187" s="50">
        <f t="shared" si="91"/>
        <v>0</v>
      </c>
      <c r="O187" s="50">
        <f t="shared" si="89"/>
        <v>0</v>
      </c>
      <c r="P187" s="50">
        <f t="shared" si="90"/>
        <v>0</v>
      </c>
    </row>
    <row r="188" spans="1:16" ht="18.75" x14ac:dyDescent="0.25">
      <c r="A188" s="136"/>
      <c r="B188" s="41"/>
      <c r="C188" s="41"/>
      <c r="D188" s="41"/>
      <c r="E188" s="51" t="s">
        <v>19</v>
      </c>
      <c r="F188" s="41"/>
      <c r="G188" s="43"/>
      <c r="H188" s="142" t="s">
        <v>12</v>
      </c>
      <c r="I188" s="45"/>
      <c r="J188" s="45"/>
      <c r="K188" s="46"/>
      <c r="L188" s="47">
        <f t="shared" ref="L188:N188" ca="1" si="92">L191+L194</f>
        <v>235500</v>
      </c>
      <c r="M188" s="47">
        <f t="shared" ca="1" si="92"/>
        <v>161500</v>
      </c>
      <c r="N188" s="47">
        <f t="shared" ca="1" si="92"/>
        <v>26000</v>
      </c>
      <c r="O188" s="47">
        <f t="shared" ca="1" si="89"/>
        <v>11.040339702760084</v>
      </c>
      <c r="P188" s="47">
        <f t="shared" ca="1" si="90"/>
        <v>16.099071207430342</v>
      </c>
    </row>
    <row r="189" spans="1:16" ht="18.75" x14ac:dyDescent="0.25">
      <c r="A189" s="136"/>
      <c r="B189" s="41"/>
      <c r="C189" s="41"/>
      <c r="D189" s="42" t="s">
        <v>20</v>
      </c>
      <c r="E189" s="41"/>
      <c r="F189" s="41"/>
      <c r="G189" s="43"/>
      <c r="H189" s="143" t="s">
        <v>12</v>
      </c>
      <c r="I189" s="144"/>
      <c r="J189" s="144"/>
      <c r="K189" s="145"/>
      <c r="L189" s="47">
        <f t="shared" ref="L189:N189" ca="1" si="93">L190+L191</f>
        <v>235500</v>
      </c>
      <c r="M189" s="47">
        <f t="shared" ca="1" si="93"/>
        <v>161500</v>
      </c>
      <c r="N189" s="47">
        <f t="shared" ca="1" si="93"/>
        <v>26000</v>
      </c>
      <c r="O189" s="47">
        <f t="shared" ca="1" si="89"/>
        <v>11.040339702760084</v>
      </c>
      <c r="P189" s="47">
        <f t="shared" ca="1" si="90"/>
        <v>16.099071207430342</v>
      </c>
    </row>
    <row r="190" spans="1:16" ht="18.75" hidden="1" x14ac:dyDescent="0.25">
      <c r="A190" s="136"/>
      <c r="B190" s="41"/>
      <c r="C190" s="41"/>
      <c r="D190" s="41"/>
      <c r="E190" s="48" t="s">
        <v>34</v>
      </c>
      <c r="F190" s="41"/>
      <c r="G190" s="43"/>
      <c r="H190" s="146" t="s">
        <v>12</v>
      </c>
      <c r="I190" s="144"/>
      <c r="J190" s="144"/>
      <c r="K190" s="145"/>
      <c r="L190" s="50">
        <v>0</v>
      </c>
      <c r="M190" s="50">
        <v>0</v>
      </c>
      <c r="N190" s="50">
        <v>0</v>
      </c>
      <c r="O190" s="50">
        <f t="shared" si="89"/>
        <v>0</v>
      </c>
      <c r="P190" s="50">
        <f t="shared" si="90"/>
        <v>0</v>
      </c>
    </row>
    <row r="191" spans="1:16" ht="18.75" x14ac:dyDescent="0.25">
      <c r="A191" s="136"/>
      <c r="B191" s="41"/>
      <c r="C191" s="41"/>
      <c r="D191" s="41"/>
      <c r="E191" s="51" t="s">
        <v>35</v>
      </c>
      <c r="F191" s="41"/>
      <c r="G191" s="43"/>
      <c r="H191" s="143" t="s">
        <v>12</v>
      </c>
      <c r="I191" s="144"/>
      <c r="J191" s="144"/>
      <c r="K191" s="145"/>
      <c r="L191" s="47">
        <f ca="1">IFERROR(__xludf.DUMMYFUNCTION("IMPORTRANGE(""https://docs.google.com/spreadsheets/d/1-uDff_7J0KD5mKrp0Vvzr7lt3OU09vwQwhkpOPPYv2Y/edit?usp=sharing"",""งบพรบ!CU14"")"),235500)</f>
        <v>235500</v>
      </c>
      <c r="M191" s="47">
        <f ca="1">IFERROR(__xludf.DUMMYFUNCTION("IMPORTRANGE(""https://docs.google.com/spreadsheets/d/1-uDff_7J0KD5mKrp0Vvzr7lt3OU09vwQwhkpOPPYv2Y/edit?usp=sharing"",""งบพรบ!CZ14"")"),161500)</f>
        <v>161500</v>
      </c>
      <c r="N191" s="47">
        <f ca="1">IFERROR(__xludf.DUMMYFUNCTION("IMPORTRANGE(""https://docs.google.com/spreadsheets/d/1-uDff_7J0KD5mKrp0Vvzr7lt3OU09vwQwhkpOPPYv2Y/edit?usp=sharing"",""งบพรบ!DB14"")"),26000)</f>
        <v>26000</v>
      </c>
      <c r="O191" s="47">
        <f t="shared" ca="1" si="89"/>
        <v>11.040339702760084</v>
      </c>
      <c r="P191" s="47">
        <f t="shared" ca="1" si="90"/>
        <v>16.099071207430342</v>
      </c>
    </row>
    <row r="192" spans="1:16" ht="18.75" x14ac:dyDescent="0.25">
      <c r="A192" s="136"/>
      <c r="B192" s="41"/>
      <c r="C192" s="41"/>
      <c r="D192" s="42" t="s">
        <v>21</v>
      </c>
      <c r="E192" s="41"/>
      <c r="F192" s="41"/>
      <c r="G192" s="43"/>
      <c r="H192" s="147" t="s">
        <v>12</v>
      </c>
      <c r="I192" s="144"/>
      <c r="J192" s="144"/>
      <c r="K192" s="145"/>
      <c r="L192" s="47">
        <f t="shared" ref="L192:N192" ca="1" si="94">L193+L194</f>
        <v>0</v>
      </c>
      <c r="M192" s="47">
        <f t="shared" ca="1" si="94"/>
        <v>0</v>
      </c>
      <c r="N192" s="47">
        <f t="shared" ca="1" si="94"/>
        <v>0</v>
      </c>
      <c r="O192" s="47">
        <f t="shared" ca="1" si="89"/>
        <v>0</v>
      </c>
      <c r="P192" s="47">
        <f t="shared" ca="1" si="90"/>
        <v>0</v>
      </c>
    </row>
    <row r="193" spans="1:16" ht="18.75" hidden="1" x14ac:dyDescent="0.25">
      <c r="A193" s="136"/>
      <c r="B193" s="41"/>
      <c r="C193" s="41"/>
      <c r="D193" s="41"/>
      <c r="E193" s="48" t="s">
        <v>18</v>
      </c>
      <c r="F193" s="41"/>
      <c r="G193" s="43"/>
      <c r="H193" s="146" t="s">
        <v>12</v>
      </c>
      <c r="I193" s="144"/>
      <c r="J193" s="144"/>
      <c r="K193" s="145"/>
      <c r="L193" s="50">
        <v>0</v>
      </c>
      <c r="M193" s="50">
        <v>0</v>
      </c>
      <c r="N193" s="50">
        <v>0</v>
      </c>
      <c r="O193" s="50">
        <f t="shared" si="89"/>
        <v>0</v>
      </c>
      <c r="P193" s="50">
        <f t="shared" si="90"/>
        <v>0</v>
      </c>
    </row>
    <row r="194" spans="1:16" ht="18.75" x14ac:dyDescent="0.25">
      <c r="A194" s="136"/>
      <c r="B194" s="41"/>
      <c r="C194" s="41"/>
      <c r="D194" s="41"/>
      <c r="E194" s="51" t="s">
        <v>19</v>
      </c>
      <c r="F194" s="41"/>
      <c r="G194" s="43"/>
      <c r="H194" s="147" t="s">
        <v>12</v>
      </c>
      <c r="I194" s="144"/>
      <c r="J194" s="144"/>
      <c r="K194" s="145"/>
      <c r="L194" s="47">
        <f ca="1">IFERROR(__xludf.DUMMYFUNCTION("IMPORTRANGE(""https://docs.google.com/spreadsheets/d/1-uDff_7J0KD5mKrp0Vvzr7lt3OU09vwQwhkpOPPYv2Y/edit?usp=sharing"",""งบพรบ!CX14"")"),0)</f>
        <v>0</v>
      </c>
      <c r="M194" s="47">
        <f ca="1">IFERROR(__xludf.DUMMYFUNCTION("IMPORTRANGE(""https://docs.google.com/spreadsheets/d/1-uDff_7J0KD5mKrp0Vvzr7lt3OU09vwQwhkpOPPYv2Y/edit?usp=sharing"",""งบพรบ!DA14"")"),0)</f>
        <v>0</v>
      </c>
      <c r="N194" s="47">
        <f ca="1">IFERROR(__xludf.DUMMYFUNCTION("IMPORTRANGE(""https://docs.google.com/spreadsheets/d/1-uDff_7J0KD5mKrp0Vvzr7lt3OU09vwQwhkpOPPYv2Y/edit?usp=sharing"",""งบพรบ!DC14"")"),0)</f>
        <v>0</v>
      </c>
      <c r="O194" s="47">
        <f t="shared" ca="1" si="89"/>
        <v>0</v>
      </c>
      <c r="P194" s="47">
        <f t="shared" ca="1" si="90"/>
        <v>0</v>
      </c>
    </row>
    <row r="195" spans="1:16" ht="19.5" x14ac:dyDescent="0.3">
      <c r="A195" s="233"/>
      <c r="B195" s="234"/>
      <c r="C195" s="235" t="s">
        <v>72</v>
      </c>
      <c r="D195" s="236"/>
      <c r="E195" s="236"/>
      <c r="F195" s="236"/>
      <c r="G195" s="237"/>
      <c r="H195" s="238" t="s">
        <v>73</v>
      </c>
      <c r="I195" s="239">
        <f t="shared" ref="I195:J195" ca="1" si="95">I198</f>
        <v>4</v>
      </c>
      <c r="J195" s="239">
        <f t="shared" si="95"/>
        <v>0</v>
      </c>
      <c r="K195" s="240">
        <f ca="1">IF(I195&gt;0,J195*100/I195,0)</f>
        <v>0</v>
      </c>
      <c r="L195" s="241"/>
      <c r="M195" s="241"/>
      <c r="N195" s="241"/>
      <c r="O195" s="241"/>
      <c r="P195" s="241"/>
    </row>
    <row r="196" spans="1:16" ht="19.5" x14ac:dyDescent="0.3">
      <c r="A196" s="136"/>
      <c r="B196" s="41"/>
      <c r="C196" s="137" t="s">
        <v>16</v>
      </c>
      <c r="D196" s="242" t="s">
        <v>17</v>
      </c>
      <c r="E196" s="41"/>
      <c r="F196" s="41"/>
      <c r="G196" s="43"/>
      <c r="H196" s="243" t="s">
        <v>12</v>
      </c>
      <c r="I196" s="45"/>
      <c r="J196" s="45"/>
      <c r="K196" s="46"/>
      <c r="L196" s="140">
        <f ca="1">IFERROR(__xludf.DUMMYFUNCTION("IMPORTRANGE(""https://docs.google.com/spreadsheets/d/1eHaY18a8A9IcSdp1K8H6x8fbOy06t2VsZHhMHf-1x7Y/edit?usp=sharing"",""แผน!AB14"")"),6000)</f>
        <v>6000</v>
      </c>
      <c r="M196" s="46"/>
      <c r="N196" s="244">
        <v>0</v>
      </c>
      <c r="O196" s="140">
        <f ca="1">IF(L196&gt;0,N196*100/L196,0)</f>
        <v>0</v>
      </c>
      <c r="P196" s="140">
        <f>IF(M196&gt;0,N196*100/M196,0)</f>
        <v>0</v>
      </c>
    </row>
    <row r="197" spans="1:16" ht="19.5" x14ac:dyDescent="0.3">
      <c r="A197" s="148"/>
      <c r="B197" s="149"/>
      <c r="C197" s="137" t="s">
        <v>16</v>
      </c>
      <c r="D197" s="150" t="s">
        <v>36</v>
      </c>
      <c r="E197" s="151"/>
      <c r="F197" s="151"/>
      <c r="G197" s="152"/>
      <c r="H197" s="153"/>
      <c r="I197" s="45"/>
      <c r="J197" s="45"/>
      <c r="K197" s="46"/>
      <c r="L197" s="46"/>
      <c r="M197" s="46"/>
      <c r="N197" s="46"/>
      <c r="O197" s="46"/>
      <c r="P197" s="46"/>
    </row>
    <row r="198" spans="1:16" ht="18.75" x14ac:dyDescent="0.25">
      <c r="A198" s="148"/>
      <c r="B198" s="149"/>
      <c r="C198" s="149"/>
      <c r="D198" s="159" t="s">
        <v>74</v>
      </c>
      <c r="E198" s="155"/>
      <c r="F198" s="155"/>
      <c r="G198" s="153"/>
      <c r="H198" s="160" t="s">
        <v>73</v>
      </c>
      <c r="I198" s="169">
        <f ca="1">IFERROR(__xludf.DUMMYFUNCTION("IMPORTRANGE(""https://docs.google.com/spreadsheets/d/1eHaY18a8A9IcSdp1K8H6x8fbOy06t2VsZHhMHf-1x7Y/edit?usp=sharing"",""แผน!AE14"")"),4)</f>
        <v>4</v>
      </c>
      <c r="J198" s="162">
        <v>0</v>
      </c>
      <c r="K198" s="47">
        <f ca="1">IF(I198&gt;0,J198*100/I198,0)</f>
        <v>0</v>
      </c>
      <c r="L198" s="46"/>
      <c r="M198" s="46"/>
      <c r="N198" s="46"/>
      <c r="O198" s="46"/>
      <c r="P198" s="46"/>
    </row>
    <row r="199" spans="1:16" ht="18.75" x14ac:dyDescent="0.25">
      <c r="A199" s="148"/>
      <c r="B199" s="149"/>
      <c r="C199" s="149"/>
      <c r="D199" s="159" t="s">
        <v>75</v>
      </c>
      <c r="E199" s="155"/>
      <c r="F199" s="155"/>
      <c r="G199" s="153"/>
      <c r="H199" s="230" t="s">
        <v>33</v>
      </c>
      <c r="I199" s="45"/>
      <c r="J199" s="169">
        <f>J200+J201</f>
        <v>0</v>
      </c>
      <c r="K199" s="46"/>
      <c r="L199" s="46"/>
      <c r="M199" s="46"/>
      <c r="N199" s="46"/>
      <c r="O199" s="46"/>
      <c r="P199" s="46"/>
    </row>
    <row r="200" spans="1:16" ht="18.75" x14ac:dyDescent="0.25">
      <c r="A200" s="148"/>
      <c r="B200" s="149"/>
      <c r="C200" s="149"/>
      <c r="D200" s="149"/>
      <c r="E200" s="159" t="s">
        <v>76</v>
      </c>
      <c r="F200" s="155"/>
      <c r="G200" s="153"/>
      <c r="H200" s="230" t="s">
        <v>33</v>
      </c>
      <c r="I200" s="45"/>
      <c r="J200" s="162">
        <v>0</v>
      </c>
      <c r="K200" s="46"/>
      <c r="L200" s="46"/>
      <c r="M200" s="46"/>
      <c r="N200" s="46"/>
      <c r="O200" s="46"/>
      <c r="P200" s="46"/>
    </row>
    <row r="201" spans="1:16" ht="18.75" x14ac:dyDescent="0.25">
      <c r="A201" s="148"/>
      <c r="B201" s="149"/>
      <c r="C201" s="149"/>
      <c r="D201" s="149"/>
      <c r="E201" s="159" t="s">
        <v>77</v>
      </c>
      <c r="F201" s="155"/>
      <c r="G201" s="153"/>
      <c r="H201" s="230" t="s">
        <v>33</v>
      </c>
      <c r="I201" s="45"/>
      <c r="J201" s="162">
        <v>0</v>
      </c>
      <c r="K201" s="46"/>
      <c r="L201" s="46"/>
      <c r="M201" s="46"/>
      <c r="N201" s="46"/>
      <c r="O201" s="46"/>
      <c r="P201" s="46"/>
    </row>
    <row r="202" spans="1:16" ht="19.5" x14ac:dyDescent="0.3">
      <c r="A202" s="233"/>
      <c r="B202" s="234"/>
      <c r="C202" s="235" t="s">
        <v>78</v>
      </c>
      <c r="D202" s="236"/>
      <c r="E202" s="236"/>
      <c r="F202" s="236"/>
      <c r="G202" s="237"/>
      <c r="H202" s="245" t="s">
        <v>79</v>
      </c>
      <c r="I202" s="239">
        <f t="shared" ref="I202:J202" ca="1" si="96">I209</f>
        <v>3</v>
      </c>
      <c r="J202" s="239">
        <f t="shared" si="96"/>
        <v>3</v>
      </c>
      <c r="K202" s="240">
        <f ca="1">IF(I202&gt;0,J202*100/I202,0)</f>
        <v>100</v>
      </c>
      <c r="L202" s="241"/>
      <c r="M202" s="241"/>
      <c r="N202" s="241"/>
      <c r="O202" s="241"/>
      <c r="P202" s="241"/>
    </row>
    <row r="203" spans="1:16" ht="19.5" x14ac:dyDescent="0.3">
      <c r="A203" s="136"/>
      <c r="B203" s="41"/>
      <c r="C203" s="137" t="s">
        <v>16</v>
      </c>
      <c r="D203" s="242" t="s">
        <v>17</v>
      </c>
      <c r="E203" s="41"/>
      <c r="F203" s="41"/>
      <c r="G203" s="43"/>
      <c r="H203" s="243" t="s">
        <v>12</v>
      </c>
      <c r="I203" s="144"/>
      <c r="J203" s="144"/>
      <c r="K203" s="145"/>
      <c r="L203" s="140">
        <f ca="1">L204+L205+L206+L207</f>
        <v>39000</v>
      </c>
      <c r="M203" s="46"/>
      <c r="N203" s="140">
        <f>N204+N205+N206+N207</f>
        <v>27000</v>
      </c>
      <c r="O203" s="140">
        <f ca="1">IF(L203&gt;0,N203*100/L203,0)</f>
        <v>69.230769230769226</v>
      </c>
      <c r="P203" s="140">
        <f>IF(M203&gt;0,N203*100/M203,0)</f>
        <v>0</v>
      </c>
    </row>
    <row r="204" spans="1:16" ht="18.75" x14ac:dyDescent="0.25">
      <c r="A204" s="136"/>
      <c r="B204" s="228"/>
      <c r="C204" s="41"/>
      <c r="D204" s="51" t="s">
        <v>80</v>
      </c>
      <c r="E204" s="41"/>
      <c r="F204" s="41"/>
      <c r="G204" s="43"/>
      <c r="H204" s="143" t="s">
        <v>12</v>
      </c>
      <c r="I204" s="144"/>
      <c r="J204" s="144"/>
      <c r="K204" s="145"/>
      <c r="L204" s="47">
        <f ca="1">IFERROR(__xludf.DUMMYFUNCTION("IMPORTRANGE(""https://docs.google.com/spreadsheets/d/1eHaY18a8A9IcSdp1K8H6x8fbOy06t2VsZHhMHf-1x7Y/edit?usp=sharing"",""แผน!AG14"")"),3000)</f>
        <v>3000</v>
      </c>
      <c r="M204" s="46"/>
      <c r="N204" s="246">
        <v>3000</v>
      </c>
      <c r="O204" s="145"/>
      <c r="P204" s="46"/>
    </row>
    <row r="205" spans="1:16" ht="18.75" x14ac:dyDescent="0.25">
      <c r="A205" s="227"/>
      <c r="B205" s="228"/>
      <c r="C205" s="41"/>
      <c r="D205" s="247" t="s">
        <v>81</v>
      </c>
      <c r="E205" s="41"/>
      <c r="F205" s="41"/>
      <c r="G205" s="43"/>
      <c r="H205" s="44" t="s">
        <v>12</v>
      </c>
      <c r="I205" s="45"/>
      <c r="J205" s="45"/>
      <c r="K205" s="46"/>
      <c r="L205" s="47">
        <f ca="1">IFERROR(__xludf.DUMMYFUNCTION("IMPORTRANGE(""https://docs.google.com/spreadsheets/d/1eHaY18a8A9IcSdp1K8H6x8fbOy06t2VsZHhMHf-1x7Y/edit?usp=sharing"",""แผน!AH14"")"),0)</f>
        <v>0</v>
      </c>
      <c r="M205" s="46"/>
      <c r="N205" s="246">
        <v>0</v>
      </c>
      <c r="O205" s="145"/>
      <c r="P205" s="46"/>
    </row>
    <row r="206" spans="1:16" ht="18.75" x14ac:dyDescent="0.25">
      <c r="A206" s="227"/>
      <c r="B206" s="228"/>
      <c r="C206" s="41"/>
      <c r="D206" s="247" t="s">
        <v>82</v>
      </c>
      <c r="E206" s="41"/>
      <c r="F206" s="41"/>
      <c r="G206" s="43"/>
      <c r="H206" s="44" t="s">
        <v>12</v>
      </c>
      <c r="I206" s="45"/>
      <c r="J206" s="45"/>
      <c r="K206" s="46"/>
      <c r="L206" s="47">
        <f ca="1">IFERROR(__xludf.DUMMYFUNCTION("IMPORTRANGE(""https://docs.google.com/spreadsheets/d/1eHaY18a8A9IcSdp1K8H6x8fbOy06t2VsZHhMHf-1x7Y/edit?usp=sharing"",""แผน!AI14"")"),24000)</f>
        <v>24000</v>
      </c>
      <c r="M206" s="46"/>
      <c r="N206" s="246">
        <v>24000</v>
      </c>
      <c r="O206" s="145"/>
      <c r="P206" s="46"/>
    </row>
    <row r="207" spans="1:16" ht="18.75" x14ac:dyDescent="0.25">
      <c r="A207" s="227"/>
      <c r="B207" s="228"/>
      <c r="C207" s="41"/>
      <c r="D207" s="247" t="s">
        <v>83</v>
      </c>
      <c r="E207" s="41"/>
      <c r="F207" s="41"/>
      <c r="G207" s="43"/>
      <c r="H207" s="44" t="s">
        <v>12</v>
      </c>
      <c r="I207" s="45"/>
      <c r="J207" s="45"/>
      <c r="K207" s="46"/>
      <c r="L207" s="47">
        <f ca="1">IFERROR(__xludf.DUMMYFUNCTION("IMPORTRANGE(""https://docs.google.com/spreadsheets/d/1eHaY18a8A9IcSdp1K8H6x8fbOy06t2VsZHhMHf-1x7Y/edit?usp=sharing"",""แผน!AJ14"")"),12000)</f>
        <v>12000</v>
      </c>
      <c r="M207" s="46"/>
      <c r="N207" s="248">
        <v>0</v>
      </c>
      <c r="O207" s="145"/>
      <c r="P207" s="46"/>
    </row>
    <row r="208" spans="1:16" ht="19.5" x14ac:dyDescent="0.3">
      <c r="A208" s="148"/>
      <c r="B208" s="149"/>
      <c r="C208" s="137" t="s">
        <v>16</v>
      </c>
      <c r="D208" s="150" t="s">
        <v>36</v>
      </c>
      <c r="E208" s="151"/>
      <c r="F208" s="151"/>
      <c r="G208" s="152"/>
      <c r="H208" s="153"/>
      <c r="I208" s="144"/>
      <c r="J208" s="144"/>
      <c r="K208" s="145"/>
      <c r="L208" s="145"/>
      <c r="M208" s="145"/>
      <c r="N208" s="145"/>
      <c r="O208" s="145"/>
      <c r="P208" s="145"/>
    </row>
    <row r="209" spans="1:16" ht="18.75" x14ac:dyDescent="0.25">
      <c r="A209" s="148"/>
      <c r="B209" s="149"/>
      <c r="C209" s="149"/>
      <c r="D209" s="154" t="s">
        <v>84</v>
      </c>
      <c r="E209" s="155"/>
      <c r="F209" s="155"/>
      <c r="G209" s="153"/>
      <c r="H209" s="249" t="s">
        <v>79</v>
      </c>
      <c r="I209" s="169">
        <f ca="1">IFERROR(__xludf.DUMMYFUNCTION("IMPORTRANGE(""https://docs.google.com/spreadsheets/d/1eHaY18a8A9IcSdp1K8H6x8fbOy06t2VsZHhMHf-1x7Y/edit?usp=sharing"",""แผน!AK14"")"),3)</f>
        <v>3</v>
      </c>
      <c r="J209" s="250">
        <v>3</v>
      </c>
      <c r="K209" s="163">
        <f ca="1">IF(I209&gt;0,J209*100/I209,0)</f>
        <v>100</v>
      </c>
      <c r="L209" s="46"/>
      <c r="M209" s="46"/>
      <c r="N209" s="46"/>
      <c r="O209" s="46"/>
      <c r="P209" s="46"/>
    </row>
    <row r="210" spans="1:16" ht="18.75" x14ac:dyDescent="0.25">
      <c r="A210" s="148"/>
      <c r="B210" s="149"/>
      <c r="C210" s="149"/>
      <c r="D210" s="159" t="s">
        <v>48</v>
      </c>
      <c r="E210" s="155"/>
      <c r="F210" s="155"/>
      <c r="G210" s="153"/>
      <c r="H210" s="153"/>
      <c r="I210" s="45"/>
      <c r="J210" s="45"/>
      <c r="K210" s="145"/>
      <c r="L210" s="46"/>
      <c r="M210" s="46"/>
      <c r="N210" s="46"/>
      <c r="O210" s="46"/>
      <c r="P210" s="46"/>
    </row>
    <row r="211" spans="1:16" ht="18.75" x14ac:dyDescent="0.25">
      <c r="A211" s="148"/>
      <c r="B211" s="149"/>
      <c r="C211" s="149"/>
      <c r="D211" s="155"/>
      <c r="E211" s="159" t="s">
        <v>85</v>
      </c>
      <c r="F211" s="155"/>
      <c r="G211" s="153"/>
      <c r="H211" s="249" t="s">
        <v>79</v>
      </c>
      <c r="I211" s="169">
        <f ca="1">IFERROR(__xludf.DUMMYFUNCTION("IMPORTRANGE(""https://docs.google.com/spreadsheets/d/1eHaY18a8A9IcSdp1K8H6x8fbOy06t2VsZHhMHf-1x7Y/edit?usp=sharing"",""แผน!AK14"")"),3)</f>
        <v>3</v>
      </c>
      <c r="J211" s="162">
        <v>0</v>
      </c>
      <c r="K211" s="163">
        <f t="shared" ref="K211:K213" ca="1" si="97">IF(I211&gt;0,J211*100/I211,0)</f>
        <v>0</v>
      </c>
      <c r="L211" s="46"/>
      <c r="M211" s="46"/>
      <c r="N211" s="46"/>
      <c r="O211" s="46"/>
      <c r="P211" s="46"/>
    </row>
    <row r="212" spans="1:16" ht="18.75" x14ac:dyDescent="0.25">
      <c r="A212" s="148"/>
      <c r="B212" s="149"/>
      <c r="C212" s="149"/>
      <c r="D212" s="155"/>
      <c r="E212" s="159" t="s">
        <v>86</v>
      </c>
      <c r="F212" s="155"/>
      <c r="G212" s="155"/>
      <c r="H212" s="251" t="s">
        <v>87</v>
      </c>
      <c r="I212" s="169">
        <f ca="1">IFERROR(__xludf.DUMMYFUNCTION("IMPORTRANGE(""https://docs.google.com/spreadsheets/d/1eHaY18a8A9IcSdp1K8H6x8fbOy06t2VsZHhMHf-1x7Y/edit?usp=sharing"",""แผน!AK14"")"),3)</f>
        <v>3</v>
      </c>
      <c r="J212" s="162">
        <v>0</v>
      </c>
      <c r="K212" s="163">
        <f t="shared" ca="1" si="97"/>
        <v>0</v>
      </c>
      <c r="L212" s="46"/>
      <c r="M212" s="46"/>
      <c r="N212" s="46"/>
      <c r="O212" s="46"/>
      <c r="P212" s="46"/>
    </row>
    <row r="213" spans="1:16" ht="19.5" hidden="1" x14ac:dyDescent="0.3">
      <c r="A213" s="233"/>
      <c r="B213" s="234"/>
      <c r="C213" s="235" t="s">
        <v>88</v>
      </c>
      <c r="D213" s="236"/>
      <c r="E213" s="236"/>
      <c r="F213" s="236"/>
      <c r="G213" s="237"/>
      <c r="H213" s="245" t="s">
        <v>79</v>
      </c>
      <c r="I213" s="239">
        <f t="shared" ref="I213:J213" ca="1" si="98">I220</f>
        <v>0</v>
      </c>
      <c r="J213" s="239">
        <f t="shared" si="98"/>
        <v>0</v>
      </c>
      <c r="K213" s="240">
        <f t="shared" ca="1" si="97"/>
        <v>0</v>
      </c>
      <c r="L213" s="241"/>
      <c r="M213" s="241"/>
      <c r="N213" s="241"/>
      <c r="O213" s="241"/>
      <c r="P213" s="241"/>
    </row>
    <row r="214" spans="1:16" ht="19.5" hidden="1" x14ac:dyDescent="0.3">
      <c r="A214" s="136"/>
      <c r="B214" s="41"/>
      <c r="C214" s="137" t="s">
        <v>16</v>
      </c>
      <c r="D214" s="242" t="s">
        <v>17</v>
      </c>
      <c r="E214" s="41"/>
      <c r="F214" s="41"/>
      <c r="G214" s="43"/>
      <c r="H214" s="243" t="s">
        <v>12</v>
      </c>
      <c r="I214" s="144"/>
      <c r="J214" s="144"/>
      <c r="K214" s="145"/>
      <c r="L214" s="140">
        <f ca="1">L215+L216+L217</f>
        <v>0</v>
      </c>
      <c r="M214" s="46"/>
      <c r="N214" s="140">
        <f>N215+N216+N217</f>
        <v>0</v>
      </c>
      <c r="O214" s="140">
        <f ca="1">IF(L214&gt;0,N214*100/L214,0)</f>
        <v>0</v>
      </c>
      <c r="P214" s="140">
        <f>IF(M214&gt;0,N214*100/M214,0)</f>
        <v>0</v>
      </c>
    </row>
    <row r="215" spans="1:16" ht="18.75" hidden="1" x14ac:dyDescent="0.25">
      <c r="A215" s="136"/>
      <c r="B215" s="228"/>
      <c r="C215" s="41"/>
      <c r="D215" s="51" t="s">
        <v>80</v>
      </c>
      <c r="E215" s="41"/>
      <c r="F215" s="41"/>
      <c r="G215" s="43"/>
      <c r="H215" s="143" t="s">
        <v>12</v>
      </c>
      <c r="I215" s="144"/>
      <c r="J215" s="144"/>
      <c r="K215" s="145"/>
      <c r="L215" s="47">
        <f ca="1">IFERROR(__xludf.DUMMYFUNCTION("IMPORTRANGE(""https://docs.google.com/spreadsheets/d/1eHaY18a8A9IcSdp1K8H6x8fbOy06t2VsZHhMHf-1x7Y/edit?usp=sharing"",""แผน!AM14"")"),0)</f>
        <v>0</v>
      </c>
      <c r="M215" s="46"/>
      <c r="N215" s="248">
        <v>0</v>
      </c>
      <c r="O215" s="145"/>
      <c r="P215" s="46"/>
    </row>
    <row r="216" spans="1:16" ht="18.75" hidden="1" x14ac:dyDescent="0.25">
      <c r="A216" s="227"/>
      <c r="B216" s="228"/>
      <c r="C216" s="228"/>
      <c r="D216" s="51" t="s">
        <v>89</v>
      </c>
      <c r="E216" s="41"/>
      <c r="F216" s="41"/>
      <c r="G216" s="43"/>
      <c r="H216" s="143" t="s">
        <v>12</v>
      </c>
      <c r="I216" s="45"/>
      <c r="J216" s="45"/>
      <c r="K216" s="46"/>
      <c r="L216" s="47">
        <f ca="1">IFERROR(__xludf.DUMMYFUNCTION("IMPORTRANGE(""https://docs.google.com/spreadsheets/d/1eHaY18a8A9IcSdp1K8H6x8fbOy06t2VsZHhMHf-1x7Y/edit?usp=sharing"",""แผน!AN14"")"),0)</f>
        <v>0</v>
      </c>
      <c r="M216" s="46"/>
      <c r="N216" s="248">
        <v>0</v>
      </c>
      <c r="O216" s="145"/>
      <c r="P216" s="46"/>
    </row>
    <row r="217" spans="1:16" ht="18.75" hidden="1" x14ac:dyDescent="0.25">
      <c r="A217" s="227"/>
      <c r="B217" s="228"/>
      <c r="C217" s="228"/>
      <c r="D217" s="51" t="s">
        <v>82</v>
      </c>
      <c r="E217" s="41"/>
      <c r="F217" s="41"/>
      <c r="G217" s="43"/>
      <c r="H217" s="143" t="s">
        <v>12</v>
      </c>
      <c r="I217" s="45"/>
      <c r="J217" s="45"/>
      <c r="K217" s="46"/>
      <c r="L217" s="47">
        <f ca="1">IFERROR(__xludf.DUMMYFUNCTION("IMPORTRANGE(""https://docs.google.com/spreadsheets/d/1eHaY18a8A9IcSdp1K8H6x8fbOy06t2VsZHhMHf-1x7Y/edit?usp=sharing"",""แผน!AO14"")"),0)</f>
        <v>0</v>
      </c>
      <c r="M217" s="46"/>
      <c r="N217" s="248">
        <v>0</v>
      </c>
      <c r="O217" s="145"/>
      <c r="P217" s="46"/>
    </row>
    <row r="218" spans="1:16" ht="19.5" hidden="1" x14ac:dyDescent="0.3">
      <c r="A218" s="148"/>
      <c r="B218" s="149"/>
      <c r="C218" s="252" t="s">
        <v>16</v>
      </c>
      <c r="D218" s="150" t="s">
        <v>36</v>
      </c>
      <c r="E218" s="151"/>
      <c r="F218" s="151"/>
      <c r="G218" s="152"/>
      <c r="H218" s="153"/>
      <c r="I218" s="144"/>
      <c r="J218" s="45"/>
      <c r="K218" s="46"/>
      <c r="L218" s="46"/>
      <c r="M218" s="46"/>
      <c r="N218" s="46"/>
      <c r="O218" s="145"/>
      <c r="P218" s="145"/>
    </row>
    <row r="219" spans="1:16" ht="18.75" hidden="1" x14ac:dyDescent="0.25">
      <c r="A219" s="148"/>
      <c r="B219" s="149"/>
      <c r="C219" s="149"/>
      <c r="D219" s="154" t="s">
        <v>90</v>
      </c>
      <c r="E219" s="155"/>
      <c r="F219" s="155"/>
      <c r="G219" s="153"/>
      <c r="H219" s="249" t="s">
        <v>79</v>
      </c>
      <c r="I219" s="169">
        <f ca="1">IFERROR(__xludf.DUMMYFUNCTION("IMPORTRANGE(""https://docs.google.com/spreadsheets/d/1eHaY18a8A9IcSdp1K8H6x8fbOy06t2VsZHhMHf-1x7Y/edit?usp=sharing"",""แผน!AP14"")"),0)</f>
        <v>0</v>
      </c>
      <c r="J219" s="162">
        <v>0</v>
      </c>
      <c r="K219" s="47">
        <f t="shared" ref="K219:K221" ca="1" si="99">IF(I219&gt;0,J219*100/I219,0)</f>
        <v>0</v>
      </c>
      <c r="L219" s="46"/>
      <c r="M219" s="46"/>
      <c r="N219" s="46"/>
      <c r="O219" s="46"/>
      <c r="P219" s="46"/>
    </row>
    <row r="220" spans="1:16" ht="18.75" hidden="1" x14ac:dyDescent="0.25">
      <c r="A220" s="148"/>
      <c r="B220" s="149"/>
      <c r="C220" s="149"/>
      <c r="D220" s="154" t="s">
        <v>91</v>
      </c>
      <c r="E220" s="155"/>
      <c r="F220" s="155"/>
      <c r="G220" s="153"/>
      <c r="H220" s="249" t="s">
        <v>79</v>
      </c>
      <c r="I220" s="169">
        <f ca="1">IFERROR(__xludf.DUMMYFUNCTION("IMPORTRANGE(""https://docs.google.com/spreadsheets/d/1eHaY18a8A9IcSdp1K8H6x8fbOy06t2VsZHhMHf-1x7Y/edit?usp=sharing"",""แผน!AP14"")"),0)</f>
        <v>0</v>
      </c>
      <c r="J220" s="162">
        <v>0</v>
      </c>
      <c r="K220" s="47">
        <f t="shared" ca="1" si="99"/>
        <v>0</v>
      </c>
      <c r="L220" s="46"/>
      <c r="M220" s="46"/>
      <c r="N220" s="46"/>
      <c r="O220" s="46"/>
      <c r="P220" s="46"/>
    </row>
    <row r="221" spans="1:16" ht="19.5" x14ac:dyDescent="0.3">
      <c r="A221" s="233"/>
      <c r="B221" s="234"/>
      <c r="C221" s="235" t="s">
        <v>92</v>
      </c>
      <c r="D221" s="236"/>
      <c r="E221" s="236"/>
      <c r="F221" s="236"/>
      <c r="G221" s="237"/>
      <c r="H221" s="238" t="s">
        <v>93</v>
      </c>
      <c r="I221" s="239">
        <f t="shared" ref="I221:J221" ca="1" si="100">I229</f>
        <v>50000</v>
      </c>
      <c r="J221" s="239">
        <f t="shared" si="100"/>
        <v>0</v>
      </c>
      <c r="K221" s="240">
        <f t="shared" ca="1" si="99"/>
        <v>0</v>
      </c>
      <c r="L221" s="241"/>
      <c r="M221" s="241"/>
      <c r="N221" s="241"/>
      <c r="O221" s="241"/>
      <c r="P221" s="241"/>
    </row>
    <row r="222" spans="1:16" ht="19.5" x14ac:dyDescent="0.3">
      <c r="A222" s="136"/>
      <c r="B222" s="41"/>
      <c r="C222" s="137" t="s">
        <v>16</v>
      </c>
      <c r="D222" s="242" t="s">
        <v>17</v>
      </c>
      <c r="E222" s="41"/>
      <c r="F222" s="41"/>
      <c r="G222" s="43"/>
      <c r="H222" s="243" t="s">
        <v>12</v>
      </c>
      <c r="I222" s="144"/>
      <c r="J222" s="144"/>
      <c r="K222" s="145"/>
      <c r="L222" s="140">
        <f ca="1">L223+L224+L225</f>
        <v>8500</v>
      </c>
      <c r="M222" s="46"/>
      <c r="N222" s="140">
        <f>N223+N224+N225</f>
        <v>0</v>
      </c>
      <c r="O222" s="140">
        <f ca="1">IF(L222&gt;0,N222*100/L222,0)</f>
        <v>0</v>
      </c>
      <c r="P222" s="140">
        <f>IF(M222&gt;0,N222*100/M222,0)</f>
        <v>0</v>
      </c>
    </row>
    <row r="223" spans="1:16" ht="18.75" x14ac:dyDescent="0.25">
      <c r="A223" s="136"/>
      <c r="B223" s="228"/>
      <c r="C223" s="41"/>
      <c r="D223" s="253" t="s">
        <v>94</v>
      </c>
      <c r="E223" s="41"/>
      <c r="F223" s="41"/>
      <c r="G223" s="43"/>
      <c r="H223" s="143" t="s">
        <v>12</v>
      </c>
      <c r="I223" s="144"/>
      <c r="J223" s="144"/>
      <c r="K223" s="145"/>
      <c r="L223" s="47">
        <f ca="1">IFERROR(__xludf.DUMMYFUNCTION("IMPORTRANGE(""https://docs.google.com/spreadsheets/d/1eHaY18a8A9IcSdp1K8H6x8fbOy06t2VsZHhMHf-1x7Y/edit?usp=sharing"",""แผน!AR14"")"),7000)</f>
        <v>7000</v>
      </c>
      <c r="M223" s="46"/>
      <c r="N223" s="248">
        <v>0</v>
      </c>
      <c r="O223" s="145"/>
      <c r="P223" s="46"/>
    </row>
    <row r="224" spans="1:16" ht="18.75" x14ac:dyDescent="0.25">
      <c r="A224" s="227"/>
      <c r="B224" s="228"/>
      <c r="C224" s="228"/>
      <c r="D224" s="254" t="s">
        <v>95</v>
      </c>
      <c r="E224" s="41"/>
      <c r="F224" s="41"/>
      <c r="G224" s="43"/>
      <c r="H224" s="143" t="s">
        <v>12</v>
      </c>
      <c r="I224" s="45"/>
      <c r="J224" s="45"/>
      <c r="K224" s="46"/>
      <c r="L224" s="47">
        <f ca="1">IFERROR(__xludf.DUMMYFUNCTION("IMPORTRANGE(""https://docs.google.com/spreadsheets/d/1eHaY18a8A9IcSdp1K8H6x8fbOy06t2VsZHhMHf-1x7Y/edit?usp=sharing"",""แผน!AS14"")"),1500)</f>
        <v>1500</v>
      </c>
      <c r="M224" s="46"/>
      <c r="N224" s="248">
        <v>0</v>
      </c>
      <c r="O224" s="145"/>
      <c r="P224" s="46"/>
    </row>
    <row r="225" spans="1:16" ht="18.75" x14ac:dyDescent="0.25">
      <c r="A225" s="227"/>
      <c r="B225" s="228"/>
      <c r="C225" s="228"/>
      <c r="D225" s="51" t="s">
        <v>82</v>
      </c>
      <c r="E225" s="41"/>
      <c r="F225" s="41"/>
      <c r="G225" s="43"/>
      <c r="H225" s="143" t="s">
        <v>12</v>
      </c>
      <c r="I225" s="45"/>
      <c r="J225" s="45"/>
      <c r="K225" s="46"/>
      <c r="L225" s="47">
        <f ca="1">IFERROR(__xludf.DUMMYFUNCTION("IMPORTRANGE(""https://docs.google.com/spreadsheets/d/1eHaY18a8A9IcSdp1K8H6x8fbOy06t2VsZHhMHf-1x7Y/edit?usp=sharing"",""แผน!AT14"")"),0)</f>
        <v>0</v>
      </c>
      <c r="M225" s="46"/>
      <c r="N225" s="248">
        <v>0</v>
      </c>
      <c r="O225" s="145"/>
      <c r="P225" s="46"/>
    </row>
    <row r="226" spans="1:16" ht="19.5" x14ac:dyDescent="0.3">
      <c r="A226" s="148"/>
      <c r="B226" s="149"/>
      <c r="C226" s="252" t="s">
        <v>16</v>
      </c>
      <c r="D226" s="150" t="s">
        <v>36</v>
      </c>
      <c r="E226" s="151"/>
      <c r="F226" s="151"/>
      <c r="G226" s="152"/>
      <c r="H226" s="153"/>
      <c r="I226" s="144"/>
      <c r="J226" s="144"/>
      <c r="K226" s="145"/>
      <c r="L226" s="145"/>
      <c r="M226" s="145"/>
      <c r="N226" s="145"/>
      <c r="O226" s="145"/>
      <c r="P226" s="145"/>
    </row>
    <row r="227" spans="1:16" ht="18.75" x14ac:dyDescent="0.25">
      <c r="A227" s="148"/>
      <c r="B227" s="149"/>
      <c r="C227" s="149"/>
      <c r="D227" s="51" t="s">
        <v>96</v>
      </c>
      <c r="E227" s="155"/>
      <c r="F227" s="155"/>
      <c r="G227" s="153"/>
      <c r="H227" s="153"/>
      <c r="I227" s="45"/>
      <c r="J227" s="45"/>
      <c r="K227" s="145"/>
      <c r="L227" s="145"/>
      <c r="M227" s="145"/>
      <c r="N227" s="145"/>
      <c r="O227" s="145"/>
      <c r="P227" s="145"/>
    </row>
    <row r="228" spans="1:16" ht="18.75" x14ac:dyDescent="0.25">
      <c r="A228" s="148"/>
      <c r="B228" s="149"/>
      <c r="C228" s="149"/>
      <c r="D228" s="149"/>
      <c r="E228" s="154" t="s">
        <v>97</v>
      </c>
      <c r="F228" s="155"/>
      <c r="G228" s="153"/>
      <c r="H228" s="160" t="s">
        <v>93</v>
      </c>
      <c r="I228" s="169">
        <f ca="1">IFERROR(__xludf.DUMMYFUNCTION("IMPORTRANGE(""https://docs.google.com/spreadsheets/d/1eHaY18a8A9IcSdp1K8H6x8fbOy06t2VsZHhMHf-1x7Y/edit?usp=sharing"",""แผน!AV14"")"),50000)</f>
        <v>50000</v>
      </c>
      <c r="J228" s="162">
        <v>0</v>
      </c>
      <c r="K228" s="163">
        <f t="shared" ref="K228:K231" ca="1" si="101">IF(I228&gt;0,J228*100/I228,0)</f>
        <v>0</v>
      </c>
      <c r="L228" s="145"/>
      <c r="M228" s="145"/>
      <c r="N228" s="145"/>
      <c r="O228" s="145"/>
      <c r="P228" s="145"/>
    </row>
    <row r="229" spans="1:16" ht="18.75" x14ac:dyDescent="0.25">
      <c r="A229" s="148"/>
      <c r="B229" s="149"/>
      <c r="C229" s="149"/>
      <c r="D229" s="149"/>
      <c r="E229" s="154" t="s">
        <v>98</v>
      </c>
      <c r="F229" s="155"/>
      <c r="G229" s="153"/>
      <c r="H229" s="160" t="s">
        <v>93</v>
      </c>
      <c r="I229" s="169">
        <f ca="1">IFERROR(__xludf.DUMMYFUNCTION("IMPORTRANGE(""https://docs.google.com/spreadsheets/d/1eHaY18a8A9IcSdp1K8H6x8fbOy06t2VsZHhMHf-1x7Y/edit?usp=sharing"",""แผน!AV14"")"),50000)</f>
        <v>50000</v>
      </c>
      <c r="J229" s="162">
        <v>0</v>
      </c>
      <c r="K229" s="163">
        <f t="shared" ca="1" si="101"/>
        <v>0</v>
      </c>
      <c r="L229" s="46"/>
      <c r="M229" s="46"/>
      <c r="N229" s="46"/>
      <c r="O229" s="46"/>
      <c r="P229" s="46"/>
    </row>
    <row r="230" spans="1:16" ht="18.75" x14ac:dyDescent="0.25">
      <c r="A230" s="148"/>
      <c r="B230" s="149"/>
      <c r="C230" s="149"/>
      <c r="D230" s="51" t="s">
        <v>99</v>
      </c>
      <c r="E230" s="155"/>
      <c r="F230" s="155"/>
      <c r="G230" s="153"/>
      <c r="H230" s="160" t="s">
        <v>33</v>
      </c>
      <c r="I230" s="169">
        <f ca="1">IFERROR(__xludf.DUMMYFUNCTION("IMPORTRANGE(""https://docs.google.com/spreadsheets/d/1eHaY18a8A9IcSdp1K8H6x8fbOy06t2VsZHhMHf-1x7Y/edit?usp=sharing"",""แผน!AU14"")"),0)</f>
        <v>0</v>
      </c>
      <c r="J230" s="162">
        <v>0</v>
      </c>
      <c r="K230" s="163">
        <f t="shared" ca="1" si="101"/>
        <v>0</v>
      </c>
      <c r="L230" s="46"/>
      <c r="M230" s="46"/>
      <c r="N230" s="46"/>
      <c r="O230" s="46"/>
      <c r="P230" s="46"/>
    </row>
    <row r="231" spans="1:16" ht="19.5" hidden="1" x14ac:dyDescent="0.3">
      <c r="A231" s="233"/>
      <c r="B231" s="234"/>
      <c r="C231" s="235" t="s">
        <v>100</v>
      </c>
      <c r="D231" s="236"/>
      <c r="E231" s="236"/>
      <c r="F231" s="236"/>
      <c r="G231" s="237"/>
      <c r="H231" s="238" t="s">
        <v>33</v>
      </c>
      <c r="I231" s="239">
        <f t="shared" ref="I231:J231" ca="1" si="102">I242+I253</f>
        <v>0</v>
      </c>
      <c r="J231" s="239">
        <f t="shared" si="102"/>
        <v>0</v>
      </c>
      <c r="K231" s="240">
        <f t="shared" ca="1" si="101"/>
        <v>0</v>
      </c>
      <c r="L231" s="241"/>
      <c r="M231" s="241"/>
      <c r="N231" s="241"/>
      <c r="O231" s="241"/>
      <c r="P231" s="241"/>
    </row>
    <row r="232" spans="1:16" ht="19.5" hidden="1" x14ac:dyDescent="0.3">
      <c r="A232" s="136"/>
      <c r="B232" s="41"/>
      <c r="C232" s="137" t="s">
        <v>16</v>
      </c>
      <c r="D232" s="138" t="s">
        <v>17</v>
      </c>
      <c r="E232" s="41"/>
      <c r="F232" s="41"/>
      <c r="G232" s="43"/>
      <c r="H232" s="243" t="s">
        <v>12</v>
      </c>
      <c r="I232" s="144"/>
      <c r="J232" s="144"/>
      <c r="K232" s="145"/>
      <c r="L232" s="140">
        <f t="shared" ref="L232:L236" ca="1" si="103">L243+L254</f>
        <v>0</v>
      </c>
      <c r="M232" s="46"/>
      <c r="N232" s="140">
        <f t="shared" ref="N232:N236" si="104">N243+N254</f>
        <v>0</v>
      </c>
      <c r="O232" s="46"/>
      <c r="P232" s="46"/>
    </row>
    <row r="233" spans="1:16" ht="18.75" hidden="1" x14ac:dyDescent="0.25">
      <c r="A233" s="136"/>
      <c r="B233" s="228"/>
      <c r="C233" s="41"/>
      <c r="D233" s="51" t="s">
        <v>80</v>
      </c>
      <c r="E233" s="41"/>
      <c r="F233" s="41"/>
      <c r="G233" s="43"/>
      <c r="H233" s="143" t="s">
        <v>12</v>
      </c>
      <c r="I233" s="144"/>
      <c r="J233" s="144"/>
      <c r="K233" s="145"/>
      <c r="L233" s="47">
        <f t="shared" ca="1" si="103"/>
        <v>0</v>
      </c>
      <c r="M233" s="46"/>
      <c r="N233" s="47">
        <f t="shared" si="104"/>
        <v>0</v>
      </c>
      <c r="O233" s="46"/>
      <c r="P233" s="46"/>
    </row>
    <row r="234" spans="1:16" ht="18.75" hidden="1" x14ac:dyDescent="0.25">
      <c r="A234" s="227"/>
      <c r="B234" s="228"/>
      <c r="C234" s="228"/>
      <c r="D234" s="51" t="s">
        <v>82</v>
      </c>
      <c r="E234" s="41"/>
      <c r="F234" s="41"/>
      <c r="G234" s="43"/>
      <c r="H234" s="143" t="s">
        <v>12</v>
      </c>
      <c r="I234" s="45"/>
      <c r="J234" s="45"/>
      <c r="K234" s="46"/>
      <c r="L234" s="47">
        <f t="shared" ca="1" si="103"/>
        <v>0</v>
      </c>
      <c r="M234" s="46"/>
      <c r="N234" s="47">
        <f t="shared" si="104"/>
        <v>0</v>
      </c>
      <c r="O234" s="46"/>
      <c r="P234" s="46"/>
    </row>
    <row r="235" spans="1:16" ht="18.75" hidden="1" x14ac:dyDescent="0.25">
      <c r="A235" s="227"/>
      <c r="B235" s="228"/>
      <c r="C235" s="228"/>
      <c r="D235" s="51" t="s">
        <v>101</v>
      </c>
      <c r="E235" s="41"/>
      <c r="F235" s="41"/>
      <c r="G235" s="43"/>
      <c r="H235" s="143" t="s">
        <v>12</v>
      </c>
      <c r="I235" s="45"/>
      <c r="J235" s="45"/>
      <c r="K235" s="46"/>
      <c r="L235" s="47">
        <f t="shared" ca="1" si="103"/>
        <v>0</v>
      </c>
      <c r="M235" s="46"/>
      <c r="N235" s="47">
        <f t="shared" si="104"/>
        <v>0</v>
      </c>
      <c r="O235" s="46"/>
      <c r="P235" s="46"/>
    </row>
    <row r="236" spans="1:16" ht="18.75" hidden="1" x14ac:dyDescent="0.25">
      <c r="A236" s="227"/>
      <c r="B236" s="228"/>
      <c r="C236" s="228"/>
      <c r="D236" s="51" t="s">
        <v>102</v>
      </c>
      <c r="E236" s="41"/>
      <c r="F236" s="41"/>
      <c r="G236" s="43"/>
      <c r="H236" s="143" t="s">
        <v>12</v>
      </c>
      <c r="I236" s="45"/>
      <c r="J236" s="45"/>
      <c r="K236" s="46"/>
      <c r="L236" s="47">
        <f t="shared" ca="1" si="103"/>
        <v>0</v>
      </c>
      <c r="M236" s="46"/>
      <c r="N236" s="47">
        <f t="shared" si="104"/>
        <v>0</v>
      </c>
      <c r="O236" s="46"/>
      <c r="P236" s="46"/>
    </row>
    <row r="237" spans="1:16" ht="19.5" hidden="1" x14ac:dyDescent="0.3">
      <c r="A237" s="148"/>
      <c r="B237" s="149"/>
      <c r="C237" s="252" t="s">
        <v>16</v>
      </c>
      <c r="D237" s="150" t="s">
        <v>36</v>
      </c>
      <c r="E237" s="151"/>
      <c r="F237" s="151"/>
      <c r="G237" s="152"/>
      <c r="H237" s="153"/>
      <c r="I237" s="144"/>
      <c r="J237" s="45"/>
      <c r="K237" s="46"/>
      <c r="L237" s="46"/>
      <c r="M237" s="46"/>
      <c r="N237" s="46"/>
      <c r="O237" s="145"/>
      <c r="P237" s="145"/>
    </row>
    <row r="238" spans="1:16" ht="18.75" hidden="1" x14ac:dyDescent="0.25">
      <c r="A238" s="148"/>
      <c r="B238" s="149"/>
      <c r="C238" s="149"/>
      <c r="D238" s="159" t="s">
        <v>103</v>
      </c>
      <c r="E238" s="155"/>
      <c r="F238" s="155"/>
      <c r="G238" s="153"/>
      <c r="H238" s="160" t="s">
        <v>33</v>
      </c>
      <c r="I238" s="169">
        <f t="shared" ref="I238:J238" ca="1" si="105">I249+I260</f>
        <v>0</v>
      </c>
      <c r="J238" s="169">
        <f t="shared" si="105"/>
        <v>0</v>
      </c>
      <c r="K238" s="47">
        <f ca="1">IF(I238&gt;0,J238*100/I238,0)</f>
        <v>0</v>
      </c>
      <c r="L238" s="46"/>
      <c r="M238" s="46"/>
      <c r="N238" s="46"/>
      <c r="O238" s="46"/>
      <c r="P238" s="46"/>
    </row>
    <row r="239" spans="1:16" ht="18.75" hidden="1" x14ac:dyDescent="0.25">
      <c r="A239" s="148"/>
      <c r="B239" s="149"/>
      <c r="C239" s="149"/>
      <c r="D239" s="255" t="s">
        <v>41</v>
      </c>
      <c r="E239" s="155"/>
      <c r="F239" s="155"/>
      <c r="G239" s="153"/>
      <c r="H239" s="153"/>
      <c r="I239" s="45"/>
      <c r="J239" s="45"/>
      <c r="K239" s="46"/>
      <c r="L239" s="46"/>
      <c r="M239" s="46"/>
      <c r="N239" s="46"/>
      <c r="O239" s="145"/>
      <c r="P239" s="145"/>
    </row>
    <row r="240" spans="1:16" ht="18.75" hidden="1" x14ac:dyDescent="0.25">
      <c r="A240" s="148"/>
      <c r="B240" s="149"/>
      <c r="C240" s="149"/>
      <c r="D240" s="149"/>
      <c r="E240" s="154" t="s">
        <v>104</v>
      </c>
      <c r="F240" s="155"/>
      <c r="G240" s="153"/>
      <c r="H240" s="160" t="s">
        <v>33</v>
      </c>
      <c r="I240" s="169">
        <f t="shared" ref="I240:J240" si="106">I251+I262</f>
        <v>0</v>
      </c>
      <c r="J240" s="169">
        <f t="shared" si="106"/>
        <v>0</v>
      </c>
      <c r="K240" s="47">
        <f t="shared" ref="K240:K242" si="107">IF(I240&gt;0,J240*100/I240,0)</f>
        <v>0</v>
      </c>
      <c r="L240" s="46"/>
      <c r="M240" s="46"/>
      <c r="N240" s="46"/>
      <c r="O240" s="46"/>
      <c r="P240" s="46"/>
    </row>
    <row r="241" spans="1:16" ht="18.75" hidden="1" x14ac:dyDescent="0.25">
      <c r="A241" s="148"/>
      <c r="B241" s="149"/>
      <c r="C241" s="149"/>
      <c r="D241" s="149"/>
      <c r="E241" s="154" t="s">
        <v>105</v>
      </c>
      <c r="F241" s="155"/>
      <c r="G241" s="153"/>
      <c r="H241" s="160" t="s">
        <v>54</v>
      </c>
      <c r="I241" s="169">
        <f t="shared" ref="I241:J241" si="108">I252+I263</f>
        <v>0</v>
      </c>
      <c r="J241" s="169">
        <f t="shared" si="108"/>
        <v>0</v>
      </c>
      <c r="K241" s="47">
        <f t="shared" si="107"/>
        <v>0</v>
      </c>
      <c r="L241" s="46"/>
      <c r="M241" s="46"/>
      <c r="N241" s="46"/>
      <c r="O241" s="46"/>
      <c r="P241" s="46"/>
    </row>
    <row r="242" spans="1:16" ht="19.5" hidden="1" x14ac:dyDescent="0.3">
      <c r="A242" s="233"/>
      <c r="B242" s="234"/>
      <c r="C242" s="256" t="s">
        <v>106</v>
      </c>
      <c r="D242" s="236"/>
      <c r="E242" s="236"/>
      <c r="F242" s="236"/>
      <c r="G242" s="237"/>
      <c r="H242" s="257" t="s">
        <v>33</v>
      </c>
      <c r="I242" s="258">
        <f t="shared" ref="I242:J242" ca="1" si="109">I249</f>
        <v>0</v>
      </c>
      <c r="J242" s="258">
        <f t="shared" si="109"/>
        <v>0</v>
      </c>
      <c r="K242" s="259">
        <f t="shared" ca="1" si="107"/>
        <v>0</v>
      </c>
      <c r="L242" s="241"/>
      <c r="M242" s="241"/>
      <c r="N242" s="241"/>
      <c r="O242" s="241"/>
      <c r="P242" s="241"/>
    </row>
    <row r="243" spans="1:16" ht="19.5" hidden="1" x14ac:dyDescent="0.3">
      <c r="A243" s="136"/>
      <c r="B243" s="41"/>
      <c r="C243" s="260" t="s">
        <v>16</v>
      </c>
      <c r="D243" s="261" t="s">
        <v>17</v>
      </c>
      <c r="E243" s="41"/>
      <c r="F243" s="41"/>
      <c r="G243" s="43"/>
      <c r="H243" s="262" t="s">
        <v>12</v>
      </c>
      <c r="I243" s="144"/>
      <c r="J243" s="144"/>
      <c r="K243" s="145"/>
      <c r="L243" s="263">
        <f ca="1">L244+L245+L246+L247</f>
        <v>0</v>
      </c>
      <c r="M243" s="46"/>
      <c r="N243" s="263">
        <f>N244+N245+N246+N247</f>
        <v>0</v>
      </c>
      <c r="O243" s="263">
        <f ca="1">IF(L243&gt;0,N243*100/L243,0)</f>
        <v>0</v>
      </c>
      <c r="P243" s="263">
        <f>IF(M243&gt;0,N243*100/M243,0)</f>
        <v>0</v>
      </c>
    </row>
    <row r="244" spans="1:16" ht="18.75" hidden="1" x14ac:dyDescent="0.25">
      <c r="A244" s="136"/>
      <c r="B244" s="228"/>
      <c r="C244" s="41"/>
      <c r="D244" s="48" t="s">
        <v>80</v>
      </c>
      <c r="E244" s="41"/>
      <c r="F244" s="41"/>
      <c r="G244" s="43"/>
      <c r="H244" s="146" t="s">
        <v>12</v>
      </c>
      <c r="I244" s="144"/>
      <c r="J244" s="144"/>
      <c r="K244" s="145"/>
      <c r="L244" s="50">
        <f ca="1">IFERROR(__xludf.DUMMYFUNCTION("IMPORTRANGE(""https://docs.google.com/spreadsheets/d/1eHaY18a8A9IcSdp1K8H6x8fbOy06t2VsZHhMHf-1x7Y/edit?usp=sharing"",""แผน!AX14"")"),0)</f>
        <v>0</v>
      </c>
      <c r="M244" s="46"/>
      <c r="N244" s="264">
        <v>0</v>
      </c>
      <c r="O244" s="46"/>
      <c r="P244" s="46"/>
    </row>
    <row r="245" spans="1:16" ht="18.75" hidden="1" x14ac:dyDescent="0.25">
      <c r="A245" s="227"/>
      <c r="B245" s="228"/>
      <c r="C245" s="228"/>
      <c r="D245" s="48" t="s">
        <v>82</v>
      </c>
      <c r="E245" s="41"/>
      <c r="F245" s="41"/>
      <c r="G245" s="43"/>
      <c r="H245" s="146" t="s">
        <v>12</v>
      </c>
      <c r="I245" s="45"/>
      <c r="J245" s="45"/>
      <c r="K245" s="46"/>
      <c r="L245" s="50">
        <f ca="1">IFERROR(__xludf.DUMMYFUNCTION("IMPORTRANGE(""https://docs.google.com/spreadsheets/d/1eHaY18a8A9IcSdp1K8H6x8fbOy06t2VsZHhMHf-1x7Y/edit?usp=sharing"",""แผน!AY14"")"),0)</f>
        <v>0</v>
      </c>
      <c r="M245" s="46"/>
      <c r="N245" s="264">
        <v>0</v>
      </c>
      <c r="O245" s="46"/>
      <c r="P245" s="46"/>
    </row>
    <row r="246" spans="1:16" ht="18.75" hidden="1" x14ac:dyDescent="0.25">
      <c r="A246" s="227"/>
      <c r="B246" s="228"/>
      <c r="C246" s="228"/>
      <c r="D246" s="48" t="s">
        <v>101</v>
      </c>
      <c r="E246" s="41"/>
      <c r="F246" s="41"/>
      <c r="G246" s="43"/>
      <c r="H246" s="146" t="s">
        <v>12</v>
      </c>
      <c r="I246" s="45"/>
      <c r="J246" s="45"/>
      <c r="K246" s="46"/>
      <c r="L246" s="50">
        <f ca="1">IFERROR(__xludf.DUMMYFUNCTION("IMPORTRANGE(""https://docs.google.com/spreadsheets/d/1eHaY18a8A9IcSdp1K8H6x8fbOy06t2VsZHhMHf-1x7Y/edit?usp=sharing"",""แผน!AZ14"")"),0)</f>
        <v>0</v>
      </c>
      <c r="M246" s="46"/>
      <c r="N246" s="264">
        <v>0</v>
      </c>
      <c r="O246" s="46"/>
      <c r="P246" s="46"/>
    </row>
    <row r="247" spans="1:16" ht="18.75" hidden="1" x14ac:dyDescent="0.25">
      <c r="A247" s="227"/>
      <c r="B247" s="228"/>
      <c r="C247" s="228"/>
      <c r="D247" s="48" t="s">
        <v>102</v>
      </c>
      <c r="E247" s="41"/>
      <c r="F247" s="41"/>
      <c r="G247" s="43"/>
      <c r="H247" s="146" t="s">
        <v>12</v>
      </c>
      <c r="I247" s="45"/>
      <c r="J247" s="45"/>
      <c r="K247" s="46"/>
      <c r="L247" s="50">
        <f ca="1">IFERROR(__xludf.DUMMYFUNCTION("IMPORTRANGE(""https://docs.google.com/spreadsheets/d/1eHaY18a8A9IcSdp1K8H6x8fbOy06t2VsZHhMHf-1x7Y/edit?usp=sharing"",""แผน!BA14"")"),0)</f>
        <v>0</v>
      </c>
      <c r="M247" s="46"/>
      <c r="N247" s="264">
        <v>0</v>
      </c>
      <c r="O247" s="46"/>
      <c r="P247" s="46"/>
    </row>
    <row r="248" spans="1:16" ht="19.5" hidden="1" x14ac:dyDescent="0.3">
      <c r="A248" s="148"/>
      <c r="B248" s="149"/>
      <c r="C248" s="265" t="s">
        <v>16</v>
      </c>
      <c r="D248" s="266" t="s">
        <v>36</v>
      </c>
      <c r="E248" s="151"/>
      <c r="F248" s="151"/>
      <c r="G248" s="152"/>
      <c r="H248" s="153"/>
      <c r="I248" s="144"/>
      <c r="J248" s="45"/>
      <c r="K248" s="46"/>
      <c r="L248" s="46"/>
      <c r="M248" s="46"/>
      <c r="N248" s="46"/>
      <c r="O248" s="145"/>
      <c r="P248" s="145"/>
    </row>
    <row r="249" spans="1:16" ht="18.75" hidden="1" x14ac:dyDescent="0.25">
      <c r="A249" s="148"/>
      <c r="B249" s="149"/>
      <c r="C249" s="149"/>
      <c r="D249" s="267" t="s">
        <v>103</v>
      </c>
      <c r="E249" s="155"/>
      <c r="F249" s="155"/>
      <c r="G249" s="153"/>
      <c r="H249" s="268" t="s">
        <v>33</v>
      </c>
      <c r="I249" s="200">
        <f ca="1">IFERROR(__xludf.DUMMYFUNCTION("IMPORTRANGE(""https://docs.google.com/spreadsheets/d/1eHaY18a8A9IcSdp1K8H6x8fbOy06t2VsZHhMHf-1x7Y/edit?usp=sharing"",""แผน!BG14"")"),0)</f>
        <v>0</v>
      </c>
      <c r="J249" s="201">
        <v>0</v>
      </c>
      <c r="K249" s="50">
        <f ca="1">IF(I249&gt;0,J249*100/I249,0)</f>
        <v>0</v>
      </c>
      <c r="L249" s="46"/>
      <c r="M249" s="46"/>
      <c r="N249" s="46"/>
      <c r="O249" s="46"/>
      <c r="P249" s="46"/>
    </row>
    <row r="250" spans="1:16" ht="18.75" hidden="1" x14ac:dyDescent="0.25">
      <c r="A250" s="148"/>
      <c r="B250" s="149"/>
      <c r="C250" s="149"/>
      <c r="D250" s="269" t="s">
        <v>41</v>
      </c>
      <c r="E250" s="155"/>
      <c r="F250" s="155"/>
      <c r="G250" s="153"/>
      <c r="H250" s="153"/>
      <c r="I250" s="45"/>
      <c r="J250" s="45"/>
      <c r="K250" s="46"/>
      <c r="L250" s="46"/>
      <c r="M250" s="46"/>
      <c r="N250" s="46"/>
      <c r="O250" s="145"/>
      <c r="P250" s="145"/>
    </row>
    <row r="251" spans="1:16" ht="18.75" hidden="1" x14ac:dyDescent="0.25">
      <c r="A251" s="148"/>
      <c r="B251" s="149"/>
      <c r="C251" s="149"/>
      <c r="D251" s="149"/>
      <c r="E251" s="270" t="s">
        <v>104</v>
      </c>
      <c r="F251" s="155"/>
      <c r="G251" s="153"/>
      <c r="H251" s="268" t="s">
        <v>33</v>
      </c>
      <c r="I251" s="200">
        <v>0</v>
      </c>
      <c r="J251" s="201">
        <v>0</v>
      </c>
      <c r="K251" s="50">
        <f t="shared" ref="K251:K253" si="110">IF(I251&gt;0,J251*100/I251,0)</f>
        <v>0</v>
      </c>
      <c r="L251" s="46"/>
      <c r="M251" s="46"/>
      <c r="N251" s="46"/>
      <c r="O251" s="46"/>
      <c r="P251" s="46"/>
    </row>
    <row r="252" spans="1:16" ht="18.75" hidden="1" x14ac:dyDescent="0.25">
      <c r="A252" s="148"/>
      <c r="B252" s="149"/>
      <c r="C252" s="149"/>
      <c r="D252" s="149"/>
      <c r="E252" s="270" t="s">
        <v>105</v>
      </c>
      <c r="F252" s="155"/>
      <c r="G252" s="153"/>
      <c r="H252" s="268" t="s">
        <v>54</v>
      </c>
      <c r="I252" s="200">
        <v>0</v>
      </c>
      <c r="J252" s="201">
        <v>0</v>
      </c>
      <c r="K252" s="50">
        <f t="shared" si="110"/>
        <v>0</v>
      </c>
      <c r="L252" s="46"/>
      <c r="M252" s="46"/>
      <c r="N252" s="46"/>
      <c r="O252" s="46"/>
      <c r="P252" s="46"/>
    </row>
    <row r="253" spans="1:16" ht="19.5" hidden="1" x14ac:dyDescent="0.3">
      <c r="A253" s="233"/>
      <c r="B253" s="234"/>
      <c r="C253" s="256" t="s">
        <v>107</v>
      </c>
      <c r="D253" s="236"/>
      <c r="E253" s="236"/>
      <c r="F253" s="236"/>
      <c r="G253" s="237"/>
      <c r="H253" s="257" t="s">
        <v>33</v>
      </c>
      <c r="I253" s="258">
        <f t="shared" ref="I253:J253" ca="1" si="111">I260</f>
        <v>0</v>
      </c>
      <c r="J253" s="258">
        <f t="shared" si="111"/>
        <v>0</v>
      </c>
      <c r="K253" s="259">
        <f t="shared" ca="1" si="110"/>
        <v>0</v>
      </c>
      <c r="L253" s="241"/>
      <c r="M253" s="241"/>
      <c r="N253" s="241"/>
      <c r="O253" s="241"/>
      <c r="P253" s="241"/>
    </row>
    <row r="254" spans="1:16" ht="19.5" hidden="1" x14ac:dyDescent="0.3">
      <c r="A254" s="136"/>
      <c r="B254" s="41"/>
      <c r="C254" s="260" t="s">
        <v>16</v>
      </c>
      <c r="D254" s="271" t="s">
        <v>17</v>
      </c>
      <c r="E254" s="41"/>
      <c r="F254" s="41"/>
      <c r="G254" s="43"/>
      <c r="H254" s="262" t="s">
        <v>12</v>
      </c>
      <c r="I254" s="144"/>
      <c r="J254" s="144"/>
      <c r="K254" s="145"/>
      <c r="L254" s="263">
        <f ca="1">L255+L256+L257+L258</f>
        <v>0</v>
      </c>
      <c r="M254" s="46"/>
      <c r="N254" s="263">
        <f>N255+N256+N257+N258</f>
        <v>0</v>
      </c>
      <c r="O254" s="263">
        <f ca="1">IF(L254&gt;0,N254*100/L254,0)</f>
        <v>0</v>
      </c>
      <c r="P254" s="263">
        <f>IF(M254&gt;0,N254*100/M254,0)</f>
        <v>0</v>
      </c>
    </row>
    <row r="255" spans="1:16" ht="18.75" hidden="1" x14ac:dyDescent="0.25">
      <c r="A255" s="136"/>
      <c r="B255" s="228"/>
      <c r="C255" s="41"/>
      <c r="D255" s="48" t="s">
        <v>80</v>
      </c>
      <c r="E255" s="41"/>
      <c r="F255" s="41"/>
      <c r="G255" s="43"/>
      <c r="H255" s="146" t="s">
        <v>12</v>
      </c>
      <c r="I255" s="144"/>
      <c r="J255" s="144"/>
      <c r="K255" s="145"/>
      <c r="L255" s="50">
        <f ca="1">IFERROR(__xludf.DUMMYFUNCTION("IMPORTRANGE(""https://docs.google.com/spreadsheets/d/1eHaY18a8A9IcSdp1K8H6x8fbOy06t2VsZHhMHf-1x7Y/edit?usp=sharing"",""แผน!BB14"")"),0)</f>
        <v>0</v>
      </c>
      <c r="M255" s="46"/>
      <c r="N255" s="264">
        <v>0</v>
      </c>
      <c r="O255" s="46"/>
      <c r="P255" s="46"/>
    </row>
    <row r="256" spans="1:16" ht="18.75" hidden="1" x14ac:dyDescent="0.25">
      <c r="A256" s="227"/>
      <c r="B256" s="228"/>
      <c r="C256" s="228"/>
      <c r="D256" s="48" t="s">
        <v>82</v>
      </c>
      <c r="E256" s="41"/>
      <c r="F256" s="41"/>
      <c r="G256" s="43"/>
      <c r="H256" s="146" t="s">
        <v>12</v>
      </c>
      <c r="I256" s="45"/>
      <c r="J256" s="45"/>
      <c r="K256" s="46"/>
      <c r="L256" s="50">
        <f ca="1">IFERROR(__xludf.DUMMYFUNCTION("IMPORTRANGE(""https://docs.google.com/spreadsheets/d/1eHaY18a8A9IcSdp1K8H6x8fbOy06t2VsZHhMHf-1x7Y/edit?usp=sharing"",""แผน!BC14"")"),0)</f>
        <v>0</v>
      </c>
      <c r="M256" s="46"/>
      <c r="N256" s="264">
        <v>0</v>
      </c>
      <c r="O256" s="46"/>
      <c r="P256" s="46"/>
    </row>
    <row r="257" spans="1:16" ht="18.75" hidden="1" x14ac:dyDescent="0.25">
      <c r="A257" s="227"/>
      <c r="B257" s="228"/>
      <c r="C257" s="228"/>
      <c r="D257" s="48" t="s">
        <v>101</v>
      </c>
      <c r="E257" s="41"/>
      <c r="F257" s="41"/>
      <c r="G257" s="43"/>
      <c r="H257" s="146" t="s">
        <v>12</v>
      </c>
      <c r="I257" s="45"/>
      <c r="J257" s="45"/>
      <c r="K257" s="46"/>
      <c r="L257" s="50">
        <f ca="1">IFERROR(__xludf.DUMMYFUNCTION("IMPORTRANGE(""https://docs.google.com/spreadsheets/d/1eHaY18a8A9IcSdp1K8H6x8fbOy06t2VsZHhMHf-1x7Y/edit?usp=sharing"",""แผน!BD14"")"),0)</f>
        <v>0</v>
      </c>
      <c r="M257" s="46"/>
      <c r="N257" s="264">
        <v>0</v>
      </c>
      <c r="O257" s="46"/>
      <c r="P257" s="46"/>
    </row>
    <row r="258" spans="1:16" ht="18.75" hidden="1" x14ac:dyDescent="0.25">
      <c r="A258" s="227"/>
      <c r="B258" s="228"/>
      <c r="C258" s="228"/>
      <c r="D258" s="48" t="s">
        <v>102</v>
      </c>
      <c r="E258" s="41"/>
      <c r="F258" s="41"/>
      <c r="G258" s="43"/>
      <c r="H258" s="146" t="s">
        <v>12</v>
      </c>
      <c r="I258" s="45"/>
      <c r="J258" s="45"/>
      <c r="K258" s="46"/>
      <c r="L258" s="50">
        <f ca="1">IFERROR(__xludf.DUMMYFUNCTION("IMPORTRANGE(""https://docs.google.com/spreadsheets/d/1eHaY18a8A9IcSdp1K8H6x8fbOy06t2VsZHhMHf-1x7Y/edit?usp=sharing"",""แผน!BE14"")"),0)</f>
        <v>0</v>
      </c>
      <c r="M258" s="46"/>
      <c r="N258" s="264">
        <v>0</v>
      </c>
      <c r="O258" s="46"/>
      <c r="P258" s="46"/>
    </row>
    <row r="259" spans="1:16" ht="19.5" hidden="1" x14ac:dyDescent="0.3">
      <c r="A259" s="148"/>
      <c r="B259" s="149"/>
      <c r="C259" s="265" t="s">
        <v>16</v>
      </c>
      <c r="D259" s="266" t="s">
        <v>36</v>
      </c>
      <c r="E259" s="151"/>
      <c r="F259" s="151"/>
      <c r="G259" s="152"/>
      <c r="H259" s="153"/>
      <c r="I259" s="144"/>
      <c r="J259" s="45"/>
      <c r="K259" s="46"/>
      <c r="L259" s="46"/>
      <c r="M259" s="46"/>
      <c r="N259" s="46"/>
      <c r="O259" s="145"/>
      <c r="P259" s="145"/>
    </row>
    <row r="260" spans="1:16" ht="18.75" hidden="1" x14ac:dyDescent="0.25">
      <c r="A260" s="148"/>
      <c r="B260" s="149"/>
      <c r="C260" s="149"/>
      <c r="D260" s="267" t="s">
        <v>103</v>
      </c>
      <c r="E260" s="155"/>
      <c r="F260" s="155"/>
      <c r="G260" s="153"/>
      <c r="H260" s="268" t="s">
        <v>33</v>
      </c>
      <c r="I260" s="200">
        <f ca="1">IFERROR(__xludf.DUMMYFUNCTION("IMPORTRANGE(""https://docs.google.com/spreadsheets/d/1eHaY18a8A9IcSdp1K8H6x8fbOy06t2VsZHhMHf-1x7Y/edit?usp=sharing"",""แผน!BH14"")"),0)</f>
        <v>0</v>
      </c>
      <c r="J260" s="201">
        <v>0</v>
      </c>
      <c r="K260" s="50">
        <f ca="1">IF(I260&gt;0,J260*100/I260,0)</f>
        <v>0</v>
      </c>
      <c r="L260" s="46"/>
      <c r="M260" s="46"/>
      <c r="N260" s="46"/>
      <c r="O260" s="46"/>
      <c r="P260" s="46"/>
    </row>
    <row r="261" spans="1:16" ht="18.75" hidden="1" x14ac:dyDescent="0.25">
      <c r="A261" s="148"/>
      <c r="B261" s="149"/>
      <c r="C261" s="149"/>
      <c r="D261" s="269" t="s">
        <v>41</v>
      </c>
      <c r="E261" s="155"/>
      <c r="F261" s="155"/>
      <c r="G261" s="153"/>
      <c r="H261" s="153"/>
      <c r="I261" s="45"/>
      <c r="J261" s="45"/>
      <c r="K261" s="46"/>
      <c r="L261" s="46"/>
      <c r="M261" s="46"/>
      <c r="N261" s="46"/>
      <c r="O261" s="145"/>
      <c r="P261" s="145"/>
    </row>
    <row r="262" spans="1:16" ht="18.75" hidden="1" x14ac:dyDescent="0.25">
      <c r="A262" s="148"/>
      <c r="B262" s="149"/>
      <c r="C262" s="149"/>
      <c r="D262" s="149"/>
      <c r="E262" s="270" t="s">
        <v>104</v>
      </c>
      <c r="F262" s="155"/>
      <c r="G262" s="153"/>
      <c r="H262" s="268" t="s">
        <v>33</v>
      </c>
      <c r="I262" s="45"/>
      <c r="J262" s="201">
        <v>0</v>
      </c>
      <c r="K262" s="50">
        <f t="shared" ref="K262:K263" si="112">IF(I262&gt;0,J262*100/I262,0)</f>
        <v>0</v>
      </c>
      <c r="L262" s="46"/>
      <c r="M262" s="46"/>
      <c r="N262" s="46"/>
      <c r="O262" s="46"/>
      <c r="P262" s="46"/>
    </row>
    <row r="263" spans="1:16" ht="18.75" hidden="1" x14ac:dyDescent="0.25">
      <c r="A263" s="148"/>
      <c r="B263" s="149"/>
      <c r="C263" s="149"/>
      <c r="D263" s="149"/>
      <c r="E263" s="270" t="s">
        <v>105</v>
      </c>
      <c r="F263" s="155"/>
      <c r="G263" s="153"/>
      <c r="H263" s="268" t="s">
        <v>54</v>
      </c>
      <c r="I263" s="45"/>
      <c r="J263" s="201">
        <v>0</v>
      </c>
      <c r="K263" s="50">
        <f t="shared" si="112"/>
        <v>0</v>
      </c>
      <c r="L263" s="46"/>
      <c r="M263" s="46"/>
      <c r="N263" s="46"/>
      <c r="O263" s="46"/>
      <c r="P263" s="46"/>
    </row>
    <row r="264" spans="1:16" ht="19.5" hidden="1" x14ac:dyDescent="0.3">
      <c r="A264" s="272" t="s">
        <v>108</v>
      </c>
      <c r="B264" s="215"/>
      <c r="C264" s="215"/>
      <c r="D264" s="216"/>
      <c r="E264" s="216"/>
      <c r="F264" s="216"/>
      <c r="G264" s="217"/>
      <c r="H264" s="217"/>
      <c r="I264" s="218"/>
      <c r="J264" s="218"/>
      <c r="K264" s="219"/>
      <c r="L264" s="219"/>
      <c r="M264" s="219"/>
      <c r="N264" s="219"/>
      <c r="O264" s="219"/>
      <c r="P264" s="219"/>
    </row>
    <row r="265" spans="1:16" ht="19.5" hidden="1" x14ac:dyDescent="0.3">
      <c r="A265" s="220"/>
      <c r="B265" s="273" t="s">
        <v>109</v>
      </c>
      <c r="C265" s="222"/>
      <c r="D265" s="151"/>
      <c r="E265" s="151"/>
      <c r="F265" s="151"/>
      <c r="G265" s="152"/>
      <c r="H265" s="274" t="s">
        <v>33</v>
      </c>
      <c r="I265" s="275">
        <f t="shared" ref="I265:J265" si="113">I276</f>
        <v>0</v>
      </c>
      <c r="J265" s="275">
        <f t="shared" si="113"/>
        <v>0</v>
      </c>
      <c r="K265" s="276">
        <f>IF(I265&gt;0,J265*100/I265,0)</f>
        <v>0</v>
      </c>
      <c r="L265" s="226"/>
      <c r="M265" s="226"/>
      <c r="N265" s="226"/>
      <c r="O265" s="226"/>
      <c r="P265" s="226"/>
    </row>
    <row r="266" spans="1:16" ht="19.5" hidden="1" x14ac:dyDescent="0.3">
      <c r="A266" s="136"/>
      <c r="B266" s="41"/>
      <c r="C266" s="260" t="s">
        <v>16</v>
      </c>
      <c r="D266" s="261" t="s">
        <v>17</v>
      </c>
      <c r="E266" s="41"/>
      <c r="F266" s="41"/>
      <c r="G266" s="43"/>
      <c r="H266" s="277" t="s">
        <v>12</v>
      </c>
      <c r="I266" s="45"/>
      <c r="J266" s="45"/>
      <c r="K266" s="46"/>
      <c r="L266" s="263">
        <f t="shared" ref="L266:N266" ca="1" si="114">L267+L268</f>
        <v>0</v>
      </c>
      <c r="M266" s="263">
        <f t="shared" ca="1" si="114"/>
        <v>0</v>
      </c>
      <c r="N266" s="263">
        <f t="shared" ca="1" si="114"/>
        <v>0</v>
      </c>
      <c r="O266" s="263">
        <f t="shared" ref="O266:O274" ca="1" si="115">IF(L266&gt;0,N266*100/L266,0)</f>
        <v>0</v>
      </c>
      <c r="P266" s="263">
        <f t="shared" ref="P266:P274" ca="1" si="116">IF(M266&gt;0,N266*100/M266,0)</f>
        <v>0</v>
      </c>
    </row>
    <row r="267" spans="1:16" ht="18.75" hidden="1" x14ac:dyDescent="0.25">
      <c r="A267" s="136"/>
      <c r="B267" s="41"/>
      <c r="C267" s="41"/>
      <c r="D267" s="41"/>
      <c r="E267" s="48" t="s">
        <v>18</v>
      </c>
      <c r="F267" s="41"/>
      <c r="G267" s="43"/>
      <c r="H267" s="141" t="s">
        <v>12</v>
      </c>
      <c r="I267" s="45"/>
      <c r="J267" s="45"/>
      <c r="K267" s="46"/>
      <c r="L267" s="50">
        <f t="shared" ref="L267:N267" si="117">L270+L273</f>
        <v>0</v>
      </c>
      <c r="M267" s="50">
        <f t="shared" si="117"/>
        <v>0</v>
      </c>
      <c r="N267" s="50">
        <f t="shared" si="117"/>
        <v>0</v>
      </c>
      <c r="O267" s="50">
        <f t="shared" si="115"/>
        <v>0</v>
      </c>
      <c r="P267" s="50">
        <f t="shared" si="116"/>
        <v>0</v>
      </c>
    </row>
    <row r="268" spans="1:16" ht="18.75" hidden="1" x14ac:dyDescent="0.25">
      <c r="A268" s="136"/>
      <c r="B268" s="41"/>
      <c r="C268" s="41"/>
      <c r="D268" s="41"/>
      <c r="E268" s="48" t="s">
        <v>19</v>
      </c>
      <c r="F268" s="41"/>
      <c r="G268" s="43"/>
      <c r="H268" s="141" t="s">
        <v>12</v>
      </c>
      <c r="I268" s="45"/>
      <c r="J268" s="45"/>
      <c r="K268" s="46"/>
      <c r="L268" s="50">
        <f t="shared" ref="L268:N268" ca="1" si="118">L271+L274</f>
        <v>0</v>
      </c>
      <c r="M268" s="50">
        <f t="shared" ca="1" si="118"/>
        <v>0</v>
      </c>
      <c r="N268" s="50">
        <f t="shared" ca="1" si="118"/>
        <v>0</v>
      </c>
      <c r="O268" s="50">
        <f t="shared" ca="1" si="115"/>
        <v>0</v>
      </c>
      <c r="P268" s="50">
        <f t="shared" ca="1" si="116"/>
        <v>0</v>
      </c>
    </row>
    <row r="269" spans="1:16" ht="18.75" hidden="1" x14ac:dyDescent="0.25">
      <c r="A269" s="136"/>
      <c r="B269" s="41"/>
      <c r="C269" s="41"/>
      <c r="D269" s="278" t="s">
        <v>20</v>
      </c>
      <c r="E269" s="41"/>
      <c r="F269" s="41"/>
      <c r="G269" s="43"/>
      <c r="H269" s="146" t="s">
        <v>12</v>
      </c>
      <c r="I269" s="144"/>
      <c r="J269" s="144"/>
      <c r="K269" s="145"/>
      <c r="L269" s="50">
        <f t="shared" ref="L269:N269" ca="1" si="119">L270+L271</f>
        <v>0</v>
      </c>
      <c r="M269" s="50">
        <f t="shared" ca="1" si="119"/>
        <v>0</v>
      </c>
      <c r="N269" s="50">
        <f t="shared" ca="1" si="119"/>
        <v>0</v>
      </c>
      <c r="O269" s="50">
        <f t="shared" ca="1" si="115"/>
        <v>0</v>
      </c>
      <c r="P269" s="50">
        <f t="shared" ca="1" si="116"/>
        <v>0</v>
      </c>
    </row>
    <row r="270" spans="1:16" ht="18.75" hidden="1" x14ac:dyDescent="0.25">
      <c r="A270" s="136"/>
      <c r="B270" s="41"/>
      <c r="C270" s="41"/>
      <c r="D270" s="41"/>
      <c r="E270" s="48" t="s">
        <v>34</v>
      </c>
      <c r="F270" s="41"/>
      <c r="G270" s="43"/>
      <c r="H270" s="146" t="s">
        <v>12</v>
      </c>
      <c r="I270" s="144"/>
      <c r="J270" s="144"/>
      <c r="K270" s="145"/>
      <c r="L270" s="50">
        <v>0</v>
      </c>
      <c r="M270" s="50">
        <v>0</v>
      </c>
      <c r="N270" s="50">
        <v>0</v>
      </c>
      <c r="O270" s="50">
        <f t="shared" si="115"/>
        <v>0</v>
      </c>
      <c r="P270" s="50">
        <f t="shared" si="116"/>
        <v>0</v>
      </c>
    </row>
    <row r="271" spans="1:16" ht="18.75" hidden="1" x14ac:dyDescent="0.25">
      <c r="A271" s="136"/>
      <c r="B271" s="41"/>
      <c r="C271" s="41"/>
      <c r="D271" s="41"/>
      <c r="E271" s="48" t="s">
        <v>35</v>
      </c>
      <c r="F271" s="41"/>
      <c r="G271" s="43"/>
      <c r="H271" s="146" t="s">
        <v>12</v>
      </c>
      <c r="I271" s="144"/>
      <c r="J271" s="144"/>
      <c r="K271" s="145"/>
      <c r="L271" s="50">
        <f ca="1">IFERROR(__xludf.DUMMYFUNCTION("IMPORTRANGE(""https://docs.google.com/spreadsheets/d/1-uDff_7J0KD5mKrp0Vvzr7lt3OU09vwQwhkpOPPYv2Y/edit?usp=sharing"",""งบพรบ!DE14"")"),0)</f>
        <v>0</v>
      </c>
      <c r="M271" s="50">
        <f ca="1">IFERROR(__xludf.DUMMYFUNCTION("IMPORTRANGE(""https://docs.google.com/spreadsheets/d/1-uDff_7J0KD5mKrp0Vvzr7lt3OU09vwQwhkpOPPYv2Y/edit?usp=sharing"",""งบพรบ!DJ14"")"),0)</f>
        <v>0</v>
      </c>
      <c r="N271" s="50">
        <f ca="1">IFERROR(__xludf.DUMMYFUNCTION("IMPORTRANGE(""https://docs.google.com/spreadsheets/d/1-uDff_7J0KD5mKrp0Vvzr7lt3OU09vwQwhkpOPPYv2Y/edit?usp=sharing"",""งบพรบ!DL14"")"),0)</f>
        <v>0</v>
      </c>
      <c r="O271" s="50">
        <f t="shared" ca="1" si="115"/>
        <v>0</v>
      </c>
      <c r="P271" s="50">
        <f t="shared" ca="1" si="116"/>
        <v>0</v>
      </c>
    </row>
    <row r="272" spans="1:16" ht="18.75" hidden="1" x14ac:dyDescent="0.25">
      <c r="A272" s="136"/>
      <c r="B272" s="41"/>
      <c r="C272" s="41"/>
      <c r="D272" s="278" t="s">
        <v>21</v>
      </c>
      <c r="E272" s="41"/>
      <c r="F272" s="41"/>
      <c r="G272" s="43"/>
      <c r="H272" s="199" t="s">
        <v>12</v>
      </c>
      <c r="I272" s="144"/>
      <c r="J272" s="144"/>
      <c r="K272" s="145"/>
      <c r="L272" s="50">
        <f t="shared" ref="L272:N272" ca="1" si="120">L273+L274</f>
        <v>0</v>
      </c>
      <c r="M272" s="50">
        <f t="shared" ca="1" si="120"/>
        <v>0</v>
      </c>
      <c r="N272" s="50">
        <f t="shared" ca="1" si="120"/>
        <v>0</v>
      </c>
      <c r="O272" s="50">
        <f t="shared" ca="1" si="115"/>
        <v>0</v>
      </c>
      <c r="P272" s="50">
        <f t="shared" ca="1" si="116"/>
        <v>0</v>
      </c>
    </row>
    <row r="273" spans="1:16" ht="18.75" hidden="1" x14ac:dyDescent="0.25">
      <c r="A273" s="136"/>
      <c r="B273" s="41"/>
      <c r="C273" s="41"/>
      <c r="D273" s="41"/>
      <c r="E273" s="48" t="s">
        <v>18</v>
      </c>
      <c r="F273" s="41"/>
      <c r="G273" s="43"/>
      <c r="H273" s="146" t="s">
        <v>12</v>
      </c>
      <c r="I273" s="144"/>
      <c r="J273" s="144"/>
      <c r="K273" s="145"/>
      <c r="L273" s="50">
        <v>0</v>
      </c>
      <c r="M273" s="50">
        <v>0</v>
      </c>
      <c r="N273" s="50">
        <v>0</v>
      </c>
      <c r="O273" s="50">
        <f t="shared" si="115"/>
        <v>0</v>
      </c>
      <c r="P273" s="50">
        <f t="shared" si="116"/>
        <v>0</v>
      </c>
    </row>
    <row r="274" spans="1:16" ht="18.75" hidden="1" x14ac:dyDescent="0.25">
      <c r="A274" s="136"/>
      <c r="B274" s="41"/>
      <c r="C274" s="41"/>
      <c r="D274" s="41"/>
      <c r="E274" s="48" t="s">
        <v>19</v>
      </c>
      <c r="F274" s="41"/>
      <c r="G274" s="43"/>
      <c r="H274" s="199" t="s">
        <v>12</v>
      </c>
      <c r="I274" s="144"/>
      <c r="J274" s="144"/>
      <c r="K274" s="145"/>
      <c r="L274" s="50">
        <f ca="1">IFERROR(__xludf.DUMMYFUNCTION("IMPORTRANGE(""https://docs.google.com/spreadsheets/d/1-uDff_7J0KD5mKrp0Vvzr7lt3OU09vwQwhkpOPPYv2Y/edit?usp=sharing"",""งบพรบ!DH14"")"),0)</f>
        <v>0</v>
      </c>
      <c r="M274" s="50">
        <f ca="1">IFERROR(__xludf.DUMMYFUNCTION("IMPORTRANGE(""https://docs.google.com/spreadsheets/d/1-uDff_7J0KD5mKrp0Vvzr7lt3OU09vwQwhkpOPPYv2Y/edit?usp=sharing"",""งบพรบ!DK14"")"),0)</f>
        <v>0</v>
      </c>
      <c r="N274" s="50">
        <f ca="1">IFERROR(__xludf.DUMMYFUNCTION("IMPORTRANGE(""https://docs.google.com/spreadsheets/d/1-uDff_7J0KD5mKrp0Vvzr7lt3OU09vwQwhkpOPPYv2Y/edit?usp=sharing"",""งบพรบ!DM14"")"),0)</f>
        <v>0</v>
      </c>
      <c r="O274" s="50">
        <f t="shared" ca="1" si="115"/>
        <v>0</v>
      </c>
      <c r="P274" s="50">
        <f t="shared" ca="1" si="116"/>
        <v>0</v>
      </c>
    </row>
    <row r="275" spans="1:16" ht="19.5" hidden="1" x14ac:dyDescent="0.3">
      <c r="A275" s="148"/>
      <c r="B275" s="149"/>
      <c r="C275" s="279" t="s">
        <v>16</v>
      </c>
      <c r="D275" s="266" t="s">
        <v>36</v>
      </c>
      <c r="E275" s="151"/>
      <c r="F275" s="151"/>
      <c r="G275" s="152"/>
      <c r="H275" s="153"/>
      <c r="I275" s="144"/>
      <c r="J275" s="144"/>
      <c r="K275" s="145"/>
      <c r="L275" s="145"/>
      <c r="M275" s="145"/>
      <c r="N275" s="145"/>
      <c r="O275" s="145"/>
      <c r="P275" s="145"/>
    </row>
    <row r="276" spans="1:16" ht="12.75" hidden="1" x14ac:dyDescent="0.2">
      <c r="A276" s="165"/>
      <c r="B276" s="166"/>
      <c r="C276" s="166"/>
      <c r="D276" s="16"/>
      <c r="E276" s="16"/>
      <c r="F276" s="16"/>
      <c r="G276" s="17"/>
      <c r="H276" s="17"/>
      <c r="I276" s="18"/>
      <c r="J276" s="18"/>
      <c r="K276" s="19"/>
      <c r="L276" s="19"/>
      <c r="M276" s="19"/>
      <c r="N276" s="19"/>
      <c r="O276" s="19"/>
      <c r="P276" s="19"/>
    </row>
    <row r="277" spans="1:16" ht="18.75" hidden="1" x14ac:dyDescent="0.25">
      <c r="A277" s="280"/>
      <c r="B277" s="281"/>
      <c r="C277" s="281"/>
      <c r="D277" s="282" t="s">
        <v>110</v>
      </c>
      <c r="E277" s="283"/>
      <c r="F277" s="283"/>
      <c r="G277" s="284"/>
      <c r="H277" s="285" t="s">
        <v>33</v>
      </c>
      <c r="I277" s="205">
        <v>0</v>
      </c>
      <c r="J277" s="205">
        <v>0</v>
      </c>
      <c r="K277" s="286">
        <v>0</v>
      </c>
      <c r="L277" s="287"/>
      <c r="M277" s="287"/>
      <c r="N277" s="287"/>
      <c r="O277" s="287"/>
      <c r="P277" s="287"/>
    </row>
    <row r="278" spans="1:16" ht="19.5" x14ac:dyDescent="0.3">
      <c r="A278" s="288" t="s">
        <v>111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</row>
    <row r="279" spans="1:16" ht="19.5" x14ac:dyDescent="0.3">
      <c r="A279" s="294" t="s">
        <v>112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299"/>
      <c r="M279" s="299"/>
      <c r="N279" s="299"/>
      <c r="O279" s="299"/>
      <c r="P279" s="299"/>
    </row>
    <row r="280" spans="1:16" ht="19.5" x14ac:dyDescent="0.3">
      <c r="A280" s="300"/>
      <c r="B280" s="301" t="s">
        <v>113</v>
      </c>
      <c r="C280" s="302"/>
      <c r="D280" s="303"/>
      <c r="E280" s="302"/>
      <c r="F280" s="302"/>
      <c r="G280" s="304"/>
      <c r="H280" s="305" t="s">
        <v>33</v>
      </c>
      <c r="I280" s="306">
        <f t="shared" ref="I280:J280" ca="1" si="121">I293</f>
        <v>50</v>
      </c>
      <c r="J280" s="306">
        <f t="shared" si="121"/>
        <v>0</v>
      </c>
      <c r="K280" s="307">
        <f t="shared" ref="K280:K281" ca="1" si="122">IF(I280&gt;0,J280*100/I280,0)</f>
        <v>0</v>
      </c>
      <c r="L280" s="308"/>
      <c r="M280" s="308"/>
      <c r="N280" s="308"/>
      <c r="O280" s="308"/>
      <c r="P280" s="308"/>
    </row>
    <row r="281" spans="1:16" ht="19.5" x14ac:dyDescent="0.3">
      <c r="A281" s="300"/>
      <c r="B281" s="302"/>
      <c r="C281" s="302"/>
      <c r="D281" s="303"/>
      <c r="E281" s="302"/>
      <c r="F281" s="302"/>
      <c r="G281" s="304"/>
      <c r="H281" s="305" t="s">
        <v>44</v>
      </c>
      <c r="I281" s="306">
        <f t="shared" ref="I281:J281" ca="1" si="123">I292</f>
        <v>500</v>
      </c>
      <c r="J281" s="306">
        <f t="shared" si="123"/>
        <v>0</v>
      </c>
      <c r="K281" s="307">
        <f t="shared" ca="1" si="122"/>
        <v>0</v>
      </c>
      <c r="L281" s="308"/>
      <c r="M281" s="308"/>
      <c r="N281" s="308"/>
      <c r="O281" s="308"/>
      <c r="P281" s="308"/>
    </row>
    <row r="282" spans="1:16" ht="19.5" x14ac:dyDescent="0.3">
      <c r="A282" s="136"/>
      <c r="B282" s="41"/>
      <c r="C282" s="137" t="s">
        <v>16</v>
      </c>
      <c r="D282" s="138" t="s">
        <v>17</v>
      </c>
      <c r="E282" s="41"/>
      <c r="F282" s="41"/>
      <c r="G282" s="43"/>
      <c r="H282" s="139" t="s">
        <v>12</v>
      </c>
      <c r="I282" s="45"/>
      <c r="J282" s="45"/>
      <c r="K282" s="46"/>
      <c r="L282" s="140">
        <f t="shared" ref="L282:N282" ca="1" si="124">L283+L284</f>
        <v>197520</v>
      </c>
      <c r="M282" s="140">
        <f t="shared" ca="1" si="124"/>
        <v>162480</v>
      </c>
      <c r="N282" s="140">
        <f t="shared" ca="1" si="124"/>
        <v>15820</v>
      </c>
      <c r="O282" s="140">
        <f t="shared" ref="O282:O290" ca="1" si="125">IF(L282&gt;0,N282*100/L282,0)</f>
        <v>8.0093155123531794</v>
      </c>
      <c r="P282" s="140">
        <f t="shared" ref="P282:P290" ca="1" si="126">IF(M282&gt;0,N282*100/M282,0)</f>
        <v>9.7365829640571153</v>
      </c>
    </row>
    <row r="283" spans="1:16" ht="18.75" hidden="1" x14ac:dyDescent="0.25">
      <c r="A283" s="136"/>
      <c r="B283" s="41"/>
      <c r="C283" s="41"/>
      <c r="D283" s="41"/>
      <c r="E283" s="48" t="s">
        <v>18</v>
      </c>
      <c r="F283" s="41"/>
      <c r="G283" s="43"/>
      <c r="H283" s="141" t="s">
        <v>12</v>
      </c>
      <c r="I283" s="45"/>
      <c r="J283" s="45"/>
      <c r="K283" s="46"/>
      <c r="L283" s="50">
        <f t="shared" ref="L283:N283" si="127">L286+L289</f>
        <v>0</v>
      </c>
      <c r="M283" s="50">
        <f t="shared" si="127"/>
        <v>0</v>
      </c>
      <c r="N283" s="50">
        <f t="shared" si="127"/>
        <v>0</v>
      </c>
      <c r="O283" s="50">
        <f t="shared" si="125"/>
        <v>0</v>
      </c>
      <c r="P283" s="50">
        <f t="shared" si="126"/>
        <v>0</v>
      </c>
    </row>
    <row r="284" spans="1:16" ht="18.75" x14ac:dyDescent="0.25">
      <c r="A284" s="136"/>
      <c r="B284" s="41"/>
      <c r="C284" s="41"/>
      <c r="D284" s="41"/>
      <c r="E284" s="51" t="s">
        <v>19</v>
      </c>
      <c r="F284" s="41"/>
      <c r="G284" s="43"/>
      <c r="H284" s="142" t="s">
        <v>12</v>
      </c>
      <c r="I284" s="45"/>
      <c r="J284" s="45"/>
      <c r="K284" s="46"/>
      <c r="L284" s="47">
        <f t="shared" ref="L284:N284" ca="1" si="128">L287+L290</f>
        <v>197520</v>
      </c>
      <c r="M284" s="47">
        <f t="shared" ca="1" si="128"/>
        <v>162480</v>
      </c>
      <c r="N284" s="47">
        <f t="shared" ca="1" si="128"/>
        <v>15820</v>
      </c>
      <c r="O284" s="47">
        <f t="shared" ca="1" si="125"/>
        <v>8.0093155123531794</v>
      </c>
      <c r="P284" s="47">
        <f t="shared" ca="1" si="126"/>
        <v>9.7365829640571153</v>
      </c>
    </row>
    <row r="285" spans="1:16" ht="18.75" x14ac:dyDescent="0.25">
      <c r="A285" s="136"/>
      <c r="B285" s="41"/>
      <c r="C285" s="41"/>
      <c r="D285" s="42" t="s">
        <v>20</v>
      </c>
      <c r="E285" s="41"/>
      <c r="F285" s="41"/>
      <c r="G285" s="43"/>
      <c r="H285" s="143" t="s">
        <v>12</v>
      </c>
      <c r="I285" s="144"/>
      <c r="J285" s="144"/>
      <c r="K285" s="145"/>
      <c r="L285" s="47">
        <f t="shared" ref="L285:N285" ca="1" si="129">L286+L287</f>
        <v>197520</v>
      </c>
      <c r="M285" s="47">
        <f t="shared" ca="1" si="129"/>
        <v>162480</v>
      </c>
      <c r="N285" s="47">
        <f t="shared" ca="1" si="129"/>
        <v>15820</v>
      </c>
      <c r="O285" s="47">
        <f t="shared" ca="1" si="125"/>
        <v>8.0093155123531794</v>
      </c>
      <c r="P285" s="47">
        <f t="shared" ca="1" si="126"/>
        <v>9.7365829640571153</v>
      </c>
    </row>
    <row r="286" spans="1:16" ht="18.75" hidden="1" x14ac:dyDescent="0.25">
      <c r="A286" s="136"/>
      <c r="B286" s="41"/>
      <c r="C286" s="41"/>
      <c r="D286" s="41"/>
      <c r="E286" s="48" t="s">
        <v>34</v>
      </c>
      <c r="F286" s="41"/>
      <c r="G286" s="43"/>
      <c r="H286" s="146" t="s">
        <v>12</v>
      </c>
      <c r="I286" s="144"/>
      <c r="J286" s="144"/>
      <c r="K286" s="145"/>
      <c r="L286" s="50">
        <v>0</v>
      </c>
      <c r="M286" s="50">
        <v>0</v>
      </c>
      <c r="N286" s="50">
        <v>0</v>
      </c>
      <c r="O286" s="50">
        <f t="shared" si="125"/>
        <v>0</v>
      </c>
      <c r="P286" s="50">
        <f t="shared" si="126"/>
        <v>0</v>
      </c>
    </row>
    <row r="287" spans="1:16" ht="18.75" x14ac:dyDescent="0.25">
      <c r="A287" s="136"/>
      <c r="B287" s="41"/>
      <c r="C287" s="41"/>
      <c r="D287" s="41"/>
      <c r="E287" s="51" t="s">
        <v>35</v>
      </c>
      <c r="F287" s="41"/>
      <c r="G287" s="43"/>
      <c r="H287" s="143" t="s">
        <v>12</v>
      </c>
      <c r="I287" s="144"/>
      <c r="J287" s="144"/>
      <c r="K287" s="145"/>
      <c r="L287" s="47">
        <f ca="1">IFERROR(__xludf.DUMMYFUNCTION("IMPORTRANGE(""https://docs.google.com/spreadsheets/d/1-uDff_7J0KD5mKrp0Vvzr7lt3OU09vwQwhkpOPPYv2Y/edit?usp=sharing"",""งบพรบ!DO14"")"),197520)</f>
        <v>197520</v>
      </c>
      <c r="M287" s="47">
        <f ca="1">IFERROR(__xludf.DUMMYFUNCTION("IMPORTRANGE(""https://docs.google.com/spreadsheets/d/1-uDff_7J0KD5mKrp0Vvzr7lt3OU09vwQwhkpOPPYv2Y/edit?usp=sharing"",""งบพรบ!DT14"")"),162480)</f>
        <v>162480</v>
      </c>
      <c r="N287" s="47">
        <f ca="1">IFERROR(__xludf.DUMMYFUNCTION("IMPORTRANGE(""https://docs.google.com/spreadsheets/d/1-uDff_7J0KD5mKrp0Vvzr7lt3OU09vwQwhkpOPPYv2Y/edit?usp=sharing"",""งบพรบ!DV14"")"),15820)</f>
        <v>15820</v>
      </c>
      <c r="O287" s="47">
        <f t="shared" ca="1" si="125"/>
        <v>8.0093155123531794</v>
      </c>
      <c r="P287" s="47">
        <f t="shared" ca="1" si="126"/>
        <v>9.7365829640571153</v>
      </c>
    </row>
    <row r="288" spans="1:16" ht="18.75" x14ac:dyDescent="0.25">
      <c r="A288" s="136"/>
      <c r="B288" s="41"/>
      <c r="C288" s="41"/>
      <c r="D288" s="42" t="s">
        <v>21</v>
      </c>
      <c r="E288" s="41"/>
      <c r="F288" s="41"/>
      <c r="G288" s="43"/>
      <c r="H288" s="147" t="s">
        <v>12</v>
      </c>
      <c r="I288" s="144"/>
      <c r="J288" s="144"/>
      <c r="K288" s="145"/>
      <c r="L288" s="47">
        <f t="shared" ref="L288:N288" ca="1" si="130">L289+L290</f>
        <v>0</v>
      </c>
      <c r="M288" s="47">
        <f t="shared" ca="1" si="130"/>
        <v>0</v>
      </c>
      <c r="N288" s="47">
        <f t="shared" ca="1" si="130"/>
        <v>0</v>
      </c>
      <c r="O288" s="47">
        <f t="shared" ca="1" si="125"/>
        <v>0</v>
      </c>
      <c r="P288" s="47">
        <f t="shared" ca="1" si="126"/>
        <v>0</v>
      </c>
    </row>
    <row r="289" spans="1:16" ht="18.75" hidden="1" x14ac:dyDescent="0.25">
      <c r="A289" s="136"/>
      <c r="B289" s="41"/>
      <c r="C289" s="41"/>
      <c r="D289" s="41"/>
      <c r="E289" s="48" t="s">
        <v>18</v>
      </c>
      <c r="F289" s="41"/>
      <c r="G289" s="43"/>
      <c r="H289" s="146" t="s">
        <v>12</v>
      </c>
      <c r="I289" s="144"/>
      <c r="J289" s="144"/>
      <c r="K289" s="145"/>
      <c r="L289" s="50">
        <v>0</v>
      </c>
      <c r="M289" s="50">
        <v>0</v>
      </c>
      <c r="N289" s="50">
        <v>0</v>
      </c>
      <c r="O289" s="50">
        <f t="shared" si="125"/>
        <v>0</v>
      </c>
      <c r="P289" s="50">
        <f t="shared" si="126"/>
        <v>0</v>
      </c>
    </row>
    <row r="290" spans="1:16" ht="18.75" x14ac:dyDescent="0.25">
      <c r="A290" s="136"/>
      <c r="B290" s="41"/>
      <c r="C290" s="41"/>
      <c r="D290" s="41"/>
      <c r="E290" s="51" t="s">
        <v>19</v>
      </c>
      <c r="F290" s="41"/>
      <c r="G290" s="43"/>
      <c r="H290" s="147" t="s">
        <v>12</v>
      </c>
      <c r="I290" s="144"/>
      <c r="J290" s="144"/>
      <c r="K290" s="145"/>
      <c r="L290" s="47">
        <f ca="1">IFERROR(__xludf.DUMMYFUNCTION("IMPORTRANGE(""https://docs.google.com/spreadsheets/d/1-uDff_7J0KD5mKrp0Vvzr7lt3OU09vwQwhkpOPPYv2Y/edit?usp=sharing"",""งบพรบ!DR14"")"),0)</f>
        <v>0</v>
      </c>
      <c r="M290" s="47">
        <f ca="1">IFERROR(__xludf.DUMMYFUNCTION("IMPORTRANGE(""https://docs.google.com/spreadsheets/d/1-uDff_7J0KD5mKrp0Vvzr7lt3OU09vwQwhkpOPPYv2Y/edit?usp=sharing"",""งบพรบ!DU14"")"),0)</f>
        <v>0</v>
      </c>
      <c r="N290" s="47">
        <f ca="1">IFERROR(__xludf.DUMMYFUNCTION("IMPORTRANGE(""https://docs.google.com/spreadsheets/d/1-uDff_7J0KD5mKrp0Vvzr7lt3OU09vwQwhkpOPPYv2Y/edit?usp=sharing"",""งบพรบ!DW14"")"),0)</f>
        <v>0</v>
      </c>
      <c r="O290" s="47">
        <f t="shared" ca="1" si="125"/>
        <v>0</v>
      </c>
      <c r="P290" s="47">
        <f t="shared" ca="1" si="126"/>
        <v>0</v>
      </c>
    </row>
    <row r="291" spans="1:16" ht="19.5" x14ac:dyDescent="0.3">
      <c r="A291" s="148"/>
      <c r="B291" s="149"/>
      <c r="C291" s="137" t="s">
        <v>16</v>
      </c>
      <c r="D291" s="150" t="s">
        <v>36</v>
      </c>
      <c r="E291" s="151"/>
      <c r="F291" s="151"/>
      <c r="G291" s="152"/>
      <c r="H291" s="153"/>
      <c r="I291" s="144"/>
      <c r="J291" s="144"/>
      <c r="K291" s="145"/>
      <c r="L291" s="145"/>
      <c r="M291" s="145"/>
      <c r="N291" s="145"/>
      <c r="O291" s="145"/>
      <c r="P291" s="145"/>
    </row>
    <row r="292" spans="1:16" ht="18.75" x14ac:dyDescent="0.25">
      <c r="A292" s="148"/>
      <c r="B292" s="149"/>
      <c r="C292" s="149"/>
      <c r="D292" s="159" t="s">
        <v>114</v>
      </c>
      <c r="E292" s="149"/>
      <c r="F292" s="155"/>
      <c r="G292" s="153"/>
      <c r="H292" s="164" t="s">
        <v>44</v>
      </c>
      <c r="I292" s="169">
        <f ca="1">IFERROR(__xludf.DUMMYFUNCTION("IMPORTRANGE(""https://docs.google.com/spreadsheets/d/1eHaY18a8A9IcSdp1K8H6x8fbOy06t2VsZHhMHf-1x7Y/edit?usp=sharing"",""แผน!EE14"")"),500)</f>
        <v>500</v>
      </c>
      <c r="J292" s="162">
        <v>0</v>
      </c>
      <c r="K292" s="163">
        <f t="shared" ref="K292:K293" ca="1" si="131">IF(I292&gt;0,J292*100/I292,0)</f>
        <v>0</v>
      </c>
      <c r="L292" s="145"/>
      <c r="M292" s="145"/>
      <c r="N292" s="145"/>
      <c r="O292" s="145"/>
      <c r="P292" s="145"/>
    </row>
    <row r="293" spans="1:16" ht="19.5" x14ac:dyDescent="0.3">
      <c r="A293" s="148"/>
      <c r="B293" s="149"/>
      <c r="C293" s="149"/>
      <c r="D293" s="159" t="s">
        <v>115</v>
      </c>
      <c r="E293" s="149"/>
      <c r="F293" s="155"/>
      <c r="G293" s="153"/>
      <c r="H293" s="156" t="s">
        <v>33</v>
      </c>
      <c r="I293" s="157">
        <f ca="1">IFERROR(__xludf.DUMMYFUNCTION("IMPORTRANGE(""https://docs.google.com/spreadsheets/d/1eHaY18a8A9IcSdp1K8H6x8fbOy06t2VsZHhMHf-1x7Y/edit?usp=sharing"",""แผน!ED14"")"),50)</f>
        <v>50</v>
      </c>
      <c r="J293" s="157">
        <f>J296</f>
        <v>0</v>
      </c>
      <c r="K293" s="158">
        <f t="shared" ca="1" si="131"/>
        <v>0</v>
      </c>
      <c r="L293" s="145"/>
      <c r="M293" s="145"/>
      <c r="N293" s="145"/>
      <c r="O293" s="145"/>
      <c r="P293" s="145"/>
    </row>
    <row r="294" spans="1:16" ht="19.5" x14ac:dyDescent="0.3">
      <c r="A294" s="148"/>
      <c r="B294" s="149"/>
      <c r="C294" s="149"/>
      <c r="D294" s="155"/>
      <c r="E294" s="167" t="s">
        <v>116</v>
      </c>
      <c r="F294" s="155"/>
      <c r="G294" s="153"/>
      <c r="H294" s="153"/>
      <c r="I294" s="144"/>
      <c r="J294" s="45"/>
      <c r="K294" s="145"/>
      <c r="L294" s="145"/>
      <c r="M294" s="145"/>
      <c r="N294" s="145"/>
      <c r="O294" s="145"/>
      <c r="P294" s="145"/>
    </row>
    <row r="295" spans="1:16" ht="19.5" x14ac:dyDescent="0.3">
      <c r="A295" s="148"/>
      <c r="B295" s="149"/>
      <c r="C295" s="149"/>
      <c r="D295" s="155"/>
      <c r="E295" s="159" t="s">
        <v>117</v>
      </c>
      <c r="F295" s="155"/>
      <c r="G295" s="153"/>
      <c r="H295" s="160" t="s">
        <v>33</v>
      </c>
      <c r="I295" s="161">
        <f ca="1">IFERROR(__xludf.DUMMYFUNCTION("IMPORTRANGE(""https://docs.google.com/spreadsheets/d/1eHaY18a8A9IcSdp1K8H6x8fbOy06t2VsZHhMHf-1x7Y/edit?usp=sharing"",""แผน!ED14"")"),50)</f>
        <v>50</v>
      </c>
      <c r="J295" s="162">
        <v>0</v>
      </c>
      <c r="K295" s="163">
        <f t="shared" ref="K295:K296" ca="1" si="132">IF(I295&gt;0,J295*100/I295,0)</f>
        <v>0</v>
      </c>
      <c r="L295" s="145"/>
      <c r="M295" s="145"/>
      <c r="N295" s="145"/>
      <c r="O295" s="145"/>
      <c r="P295" s="145"/>
    </row>
    <row r="296" spans="1:16" ht="19.5" x14ac:dyDescent="0.3">
      <c r="A296" s="148"/>
      <c r="B296" s="149"/>
      <c r="C296" s="149"/>
      <c r="D296" s="155"/>
      <c r="E296" s="159" t="s">
        <v>118</v>
      </c>
      <c r="F296" s="155"/>
      <c r="G296" s="153"/>
      <c r="H296" s="160" t="s">
        <v>33</v>
      </c>
      <c r="I296" s="161">
        <f ca="1">IFERROR(__xludf.DUMMYFUNCTION("IMPORTRANGE(""https://docs.google.com/spreadsheets/d/1eHaY18a8A9IcSdp1K8H6x8fbOy06t2VsZHhMHf-1x7Y/edit?usp=sharing"",""แผน!ED14"")"),50)</f>
        <v>50</v>
      </c>
      <c r="J296" s="162">
        <v>0</v>
      </c>
      <c r="K296" s="163">
        <f t="shared" ca="1" si="132"/>
        <v>0</v>
      </c>
      <c r="L296" s="145"/>
      <c r="M296" s="145"/>
      <c r="N296" s="145"/>
      <c r="O296" s="145"/>
      <c r="P296" s="145"/>
    </row>
    <row r="297" spans="1:16" ht="12.75" hidden="1" x14ac:dyDescent="0.2">
      <c r="A297" s="165"/>
      <c r="B297" s="166"/>
      <c r="C297" s="166"/>
      <c r="D297" s="16"/>
      <c r="E297" s="16"/>
      <c r="F297" s="16"/>
      <c r="G297" s="17"/>
      <c r="H297" s="17"/>
      <c r="I297" s="18"/>
      <c r="J297" s="18"/>
      <c r="K297" s="19"/>
      <c r="L297" s="19"/>
      <c r="M297" s="19"/>
      <c r="N297" s="19"/>
      <c r="O297" s="19"/>
      <c r="P297" s="19"/>
    </row>
    <row r="298" spans="1:16" ht="12.75" hidden="1" x14ac:dyDescent="0.2">
      <c r="A298" s="165"/>
      <c r="B298" s="166"/>
      <c r="C298" s="166"/>
      <c r="D298" s="16"/>
      <c r="E298" s="16"/>
      <c r="F298" s="16"/>
      <c r="G298" s="17"/>
      <c r="H298" s="17"/>
      <c r="I298" s="18"/>
      <c r="J298" s="18"/>
      <c r="K298" s="19"/>
      <c r="L298" s="19"/>
      <c r="M298" s="19"/>
      <c r="N298" s="19"/>
      <c r="O298" s="19"/>
      <c r="P298" s="19"/>
    </row>
    <row r="299" spans="1:16" ht="12.75" hidden="1" x14ac:dyDescent="0.2">
      <c r="A299" s="309"/>
      <c r="B299" s="310"/>
      <c r="C299" s="310"/>
      <c r="D299" s="21"/>
      <c r="E299" s="21"/>
      <c r="F299" s="21"/>
      <c r="G299" s="12"/>
      <c r="H299" s="12"/>
      <c r="I299" s="13"/>
      <c r="J299" s="13"/>
      <c r="K299" s="14"/>
      <c r="L299" s="14"/>
      <c r="M299" s="14"/>
      <c r="N299" s="14"/>
      <c r="O299" s="14"/>
      <c r="P299" s="14"/>
    </row>
    <row r="300" spans="1:16" ht="19.5" x14ac:dyDescent="0.3">
      <c r="A300" s="311" t="s">
        <v>119</v>
      </c>
      <c r="B300" s="312"/>
      <c r="C300" s="312"/>
      <c r="D300" s="312"/>
      <c r="E300" s="313"/>
      <c r="F300" s="313"/>
      <c r="G300" s="313"/>
      <c r="H300" s="313"/>
      <c r="I300" s="314"/>
      <c r="J300" s="314"/>
      <c r="K300" s="315"/>
      <c r="L300" s="315"/>
      <c r="M300" s="315"/>
      <c r="N300" s="315"/>
      <c r="O300" s="315"/>
      <c r="P300" s="316"/>
    </row>
    <row r="301" spans="1:16" ht="19.5" x14ac:dyDescent="0.3">
      <c r="A301" s="317" t="s">
        <v>120</v>
      </c>
      <c r="B301" s="318"/>
      <c r="C301" s="318"/>
      <c r="D301" s="319"/>
      <c r="E301" s="319"/>
      <c r="F301" s="319"/>
      <c r="G301" s="320"/>
      <c r="H301" s="320"/>
      <c r="I301" s="321"/>
      <c r="J301" s="321"/>
      <c r="K301" s="322"/>
      <c r="L301" s="322"/>
      <c r="M301" s="322"/>
      <c r="N301" s="322"/>
      <c r="O301" s="322"/>
      <c r="P301" s="322"/>
    </row>
    <row r="302" spans="1:16" ht="19.5" x14ac:dyDescent="0.3">
      <c r="A302" s="323"/>
      <c r="B302" s="324" t="s">
        <v>121</v>
      </c>
      <c r="C302" s="325"/>
      <c r="D302" s="325"/>
      <c r="E302" s="325"/>
      <c r="F302" s="325"/>
      <c r="G302" s="326"/>
      <c r="H302" s="327" t="s">
        <v>33</v>
      </c>
      <c r="I302" s="328">
        <f t="shared" ref="I302:J302" ca="1" si="133">I314</f>
        <v>20</v>
      </c>
      <c r="J302" s="328">
        <f t="shared" si="133"/>
        <v>0</v>
      </c>
      <c r="K302" s="329">
        <f ca="1">IF(I302&gt;0,J302*100/I302,0)</f>
        <v>0</v>
      </c>
      <c r="L302" s="330"/>
      <c r="M302" s="330"/>
      <c r="N302" s="330"/>
      <c r="O302" s="330"/>
      <c r="P302" s="330"/>
    </row>
    <row r="303" spans="1:16" ht="19.5" x14ac:dyDescent="0.3">
      <c r="A303" s="136"/>
      <c r="B303" s="41"/>
      <c r="C303" s="137" t="s">
        <v>16</v>
      </c>
      <c r="D303" s="138" t="s">
        <v>17</v>
      </c>
      <c r="E303" s="41"/>
      <c r="F303" s="41"/>
      <c r="G303" s="43"/>
      <c r="H303" s="139" t="s">
        <v>12</v>
      </c>
      <c r="I303" s="45"/>
      <c r="J303" s="45"/>
      <c r="K303" s="46"/>
      <c r="L303" s="140">
        <f t="shared" ref="L303:N303" ca="1" si="134">L304+L305</f>
        <v>184600</v>
      </c>
      <c r="M303" s="140">
        <f t="shared" ca="1" si="134"/>
        <v>137400</v>
      </c>
      <c r="N303" s="140">
        <f t="shared" ca="1" si="134"/>
        <v>14600</v>
      </c>
      <c r="O303" s="140">
        <f t="shared" ref="O303:O311" ca="1" si="135">IF(L303&gt;0,N303*100/L303,0)</f>
        <v>7.9089924160346694</v>
      </c>
      <c r="P303" s="140">
        <f t="shared" ref="P303:P311" ca="1" si="136">IF(M303&gt;0,N303*100/M303,0)</f>
        <v>10.625909752547306</v>
      </c>
    </row>
    <row r="304" spans="1:16" ht="18.75" hidden="1" x14ac:dyDescent="0.25">
      <c r="A304" s="136"/>
      <c r="B304" s="41"/>
      <c r="C304" s="41"/>
      <c r="D304" s="41"/>
      <c r="E304" s="48" t="s">
        <v>18</v>
      </c>
      <c r="F304" s="41"/>
      <c r="G304" s="43"/>
      <c r="H304" s="141" t="s">
        <v>12</v>
      </c>
      <c r="I304" s="45"/>
      <c r="J304" s="45"/>
      <c r="K304" s="46"/>
      <c r="L304" s="50">
        <f t="shared" ref="L304:N304" si="137">L307+L310</f>
        <v>0</v>
      </c>
      <c r="M304" s="50">
        <f t="shared" si="137"/>
        <v>0</v>
      </c>
      <c r="N304" s="50">
        <f t="shared" si="137"/>
        <v>0</v>
      </c>
      <c r="O304" s="50">
        <f t="shared" si="135"/>
        <v>0</v>
      </c>
      <c r="P304" s="50">
        <f t="shared" si="136"/>
        <v>0</v>
      </c>
    </row>
    <row r="305" spans="1:16" ht="18.75" x14ac:dyDescent="0.25">
      <c r="A305" s="136"/>
      <c r="B305" s="41"/>
      <c r="C305" s="41"/>
      <c r="D305" s="41"/>
      <c r="E305" s="51" t="s">
        <v>19</v>
      </c>
      <c r="F305" s="41"/>
      <c r="G305" s="43"/>
      <c r="H305" s="142" t="s">
        <v>12</v>
      </c>
      <c r="I305" s="45"/>
      <c r="J305" s="45"/>
      <c r="K305" s="46"/>
      <c r="L305" s="47">
        <f t="shared" ref="L305:N305" ca="1" si="138">L308+L311</f>
        <v>184600</v>
      </c>
      <c r="M305" s="47">
        <f t="shared" ca="1" si="138"/>
        <v>137400</v>
      </c>
      <c r="N305" s="47">
        <f t="shared" ca="1" si="138"/>
        <v>14600</v>
      </c>
      <c r="O305" s="47">
        <f t="shared" ca="1" si="135"/>
        <v>7.9089924160346694</v>
      </c>
      <c r="P305" s="47">
        <f t="shared" ca="1" si="136"/>
        <v>10.625909752547306</v>
      </c>
    </row>
    <row r="306" spans="1:16" ht="18.75" x14ac:dyDescent="0.25">
      <c r="A306" s="136"/>
      <c r="B306" s="41"/>
      <c r="C306" s="41"/>
      <c r="D306" s="42" t="s">
        <v>20</v>
      </c>
      <c r="E306" s="41"/>
      <c r="F306" s="41"/>
      <c r="G306" s="43"/>
      <c r="H306" s="143" t="s">
        <v>12</v>
      </c>
      <c r="I306" s="144"/>
      <c r="J306" s="144"/>
      <c r="K306" s="145"/>
      <c r="L306" s="47">
        <f t="shared" ref="L306:N306" ca="1" si="139">L307+L308</f>
        <v>184600</v>
      </c>
      <c r="M306" s="47">
        <f t="shared" ca="1" si="139"/>
        <v>137400</v>
      </c>
      <c r="N306" s="47">
        <f t="shared" ca="1" si="139"/>
        <v>14600</v>
      </c>
      <c r="O306" s="47">
        <f t="shared" ca="1" si="135"/>
        <v>7.9089924160346694</v>
      </c>
      <c r="P306" s="47">
        <f t="shared" ca="1" si="136"/>
        <v>10.625909752547306</v>
      </c>
    </row>
    <row r="307" spans="1:16" ht="18.75" hidden="1" x14ac:dyDescent="0.25">
      <c r="A307" s="136"/>
      <c r="B307" s="41"/>
      <c r="C307" s="41"/>
      <c r="D307" s="41"/>
      <c r="E307" s="48" t="s">
        <v>34</v>
      </c>
      <c r="F307" s="41"/>
      <c r="G307" s="43"/>
      <c r="H307" s="146" t="s">
        <v>12</v>
      </c>
      <c r="I307" s="144"/>
      <c r="J307" s="144"/>
      <c r="K307" s="145"/>
      <c r="L307" s="50">
        <v>0</v>
      </c>
      <c r="M307" s="50">
        <v>0</v>
      </c>
      <c r="N307" s="50">
        <v>0</v>
      </c>
      <c r="O307" s="50">
        <f t="shared" si="135"/>
        <v>0</v>
      </c>
      <c r="P307" s="50">
        <f t="shared" si="136"/>
        <v>0</v>
      </c>
    </row>
    <row r="308" spans="1:16" ht="18.75" x14ac:dyDescent="0.25">
      <c r="A308" s="136"/>
      <c r="B308" s="41"/>
      <c r="C308" s="41"/>
      <c r="D308" s="41"/>
      <c r="E308" s="51" t="s">
        <v>35</v>
      </c>
      <c r="F308" s="41"/>
      <c r="G308" s="43"/>
      <c r="H308" s="143" t="s">
        <v>12</v>
      </c>
      <c r="I308" s="144"/>
      <c r="J308" s="144"/>
      <c r="K308" s="145"/>
      <c r="L308" s="47">
        <f ca="1">IFERROR(__xludf.DUMMYFUNCTION("IMPORTRANGE(""https://docs.google.com/spreadsheets/d/1-uDff_7J0KD5mKrp0Vvzr7lt3OU09vwQwhkpOPPYv2Y/edit?usp=sharing"",""งบพรบ!DY14"")"),184600)</f>
        <v>184600</v>
      </c>
      <c r="M308" s="47">
        <f ca="1">IFERROR(__xludf.DUMMYFUNCTION("IMPORTRANGE(""https://docs.google.com/spreadsheets/d/1-uDff_7J0KD5mKrp0Vvzr7lt3OU09vwQwhkpOPPYv2Y/edit?usp=sharing"",""งบพรบ!ED14"")"),137400)</f>
        <v>137400</v>
      </c>
      <c r="N308" s="47">
        <f ca="1">IFERROR(__xludf.DUMMYFUNCTION("IMPORTRANGE(""https://docs.google.com/spreadsheets/d/1-uDff_7J0KD5mKrp0Vvzr7lt3OU09vwQwhkpOPPYv2Y/edit?usp=sharing"",""งบพรบ!EF14"")"),14600)</f>
        <v>14600</v>
      </c>
      <c r="O308" s="47">
        <f t="shared" ca="1" si="135"/>
        <v>7.9089924160346694</v>
      </c>
      <c r="P308" s="47">
        <f t="shared" ca="1" si="136"/>
        <v>10.625909752547306</v>
      </c>
    </row>
    <row r="309" spans="1:16" ht="18.75" x14ac:dyDescent="0.25">
      <c r="A309" s="136"/>
      <c r="B309" s="41"/>
      <c r="C309" s="41"/>
      <c r="D309" s="42" t="s">
        <v>21</v>
      </c>
      <c r="E309" s="41"/>
      <c r="F309" s="41"/>
      <c r="G309" s="43"/>
      <c r="H309" s="147" t="s">
        <v>12</v>
      </c>
      <c r="I309" s="144"/>
      <c r="J309" s="144"/>
      <c r="K309" s="145"/>
      <c r="L309" s="47">
        <f t="shared" ref="L309:N309" ca="1" si="140">L310+L311</f>
        <v>0</v>
      </c>
      <c r="M309" s="47">
        <f t="shared" ca="1" si="140"/>
        <v>0</v>
      </c>
      <c r="N309" s="47">
        <f t="shared" ca="1" si="140"/>
        <v>0</v>
      </c>
      <c r="O309" s="47">
        <f t="shared" ca="1" si="135"/>
        <v>0</v>
      </c>
      <c r="P309" s="47">
        <f t="shared" ca="1" si="136"/>
        <v>0</v>
      </c>
    </row>
    <row r="310" spans="1:16" ht="18.75" hidden="1" x14ac:dyDescent="0.25">
      <c r="A310" s="136"/>
      <c r="B310" s="41"/>
      <c r="C310" s="41"/>
      <c r="D310" s="41"/>
      <c r="E310" s="48" t="s">
        <v>18</v>
      </c>
      <c r="F310" s="41"/>
      <c r="G310" s="43"/>
      <c r="H310" s="146" t="s">
        <v>12</v>
      </c>
      <c r="I310" s="144"/>
      <c r="J310" s="144"/>
      <c r="K310" s="145"/>
      <c r="L310" s="50">
        <v>0</v>
      </c>
      <c r="M310" s="50">
        <v>0</v>
      </c>
      <c r="N310" s="50">
        <v>0</v>
      </c>
      <c r="O310" s="50">
        <f t="shared" si="135"/>
        <v>0</v>
      </c>
      <c r="P310" s="50">
        <f t="shared" si="136"/>
        <v>0</v>
      </c>
    </row>
    <row r="311" spans="1:16" ht="18.75" x14ac:dyDescent="0.25">
      <c r="A311" s="136"/>
      <c r="B311" s="41"/>
      <c r="C311" s="41"/>
      <c r="D311" s="41"/>
      <c r="E311" s="51" t="s">
        <v>19</v>
      </c>
      <c r="F311" s="41"/>
      <c r="G311" s="43"/>
      <c r="H311" s="147" t="s">
        <v>12</v>
      </c>
      <c r="I311" s="144"/>
      <c r="J311" s="144"/>
      <c r="K311" s="145"/>
      <c r="L311" s="47">
        <f ca="1">IFERROR(__xludf.DUMMYFUNCTION("IMPORTRANGE(""https://docs.google.com/spreadsheets/d/1-uDff_7J0KD5mKrp0Vvzr7lt3OU09vwQwhkpOPPYv2Y/edit?usp=sharing"",""งบพรบ!EB14"")"),0)</f>
        <v>0</v>
      </c>
      <c r="M311" s="47">
        <f ca="1">IFERROR(__xludf.DUMMYFUNCTION("IMPORTRANGE(""https://docs.google.com/spreadsheets/d/1-uDff_7J0KD5mKrp0Vvzr7lt3OU09vwQwhkpOPPYv2Y/edit?usp=sharing"",""งบพรบ!EE14"")"),0)</f>
        <v>0</v>
      </c>
      <c r="N311" s="47">
        <f ca="1">IFERROR(__xludf.DUMMYFUNCTION("IMPORTRANGE(""https://docs.google.com/spreadsheets/d/1-uDff_7J0KD5mKrp0Vvzr7lt3OU09vwQwhkpOPPYv2Y/edit?usp=sharing"",""งบพรบ!EG14"")"),0)</f>
        <v>0</v>
      </c>
      <c r="O311" s="47">
        <f t="shared" ca="1" si="135"/>
        <v>0</v>
      </c>
      <c r="P311" s="47">
        <f t="shared" ca="1" si="136"/>
        <v>0</v>
      </c>
    </row>
    <row r="312" spans="1:16" ht="19.5" x14ac:dyDescent="0.3">
      <c r="A312" s="148"/>
      <c r="B312" s="149"/>
      <c r="C312" s="137" t="s">
        <v>16</v>
      </c>
      <c r="D312" s="150" t="s">
        <v>36</v>
      </c>
      <c r="E312" s="151"/>
      <c r="F312" s="151"/>
      <c r="G312" s="152"/>
      <c r="H312" s="153"/>
      <c r="I312" s="45"/>
      <c r="J312" s="45"/>
      <c r="K312" s="46"/>
      <c r="L312" s="46"/>
      <c r="M312" s="46"/>
      <c r="N312" s="46"/>
      <c r="O312" s="46"/>
      <c r="P312" s="46"/>
    </row>
    <row r="313" spans="1:16" ht="18.75" x14ac:dyDescent="0.25">
      <c r="A313" s="148"/>
      <c r="B313" s="149"/>
      <c r="C313" s="149"/>
      <c r="D313" s="159" t="s">
        <v>122</v>
      </c>
      <c r="E313" s="155"/>
      <c r="F313" s="155"/>
      <c r="G313" s="153"/>
      <c r="H313" s="153"/>
      <c r="I313" s="45"/>
      <c r="J313" s="162">
        <v>0</v>
      </c>
      <c r="K313" s="46"/>
      <c r="L313" s="46"/>
      <c r="M313" s="46"/>
      <c r="N313" s="46"/>
      <c r="O313" s="46"/>
      <c r="P313" s="46"/>
    </row>
    <row r="314" spans="1:16" ht="18.75" x14ac:dyDescent="0.25">
      <c r="A314" s="148"/>
      <c r="B314" s="149"/>
      <c r="C314" s="149"/>
      <c r="D314" s="159" t="s">
        <v>115</v>
      </c>
      <c r="E314" s="155"/>
      <c r="F314" s="155"/>
      <c r="G314" s="153"/>
      <c r="H314" s="160" t="s">
        <v>33</v>
      </c>
      <c r="I314" s="169">
        <f ca="1">IFERROR(__xludf.DUMMYFUNCTION("IMPORTRANGE(""https://docs.google.com/spreadsheets/d/1eHaY18a8A9IcSdp1K8H6x8fbOy06t2VsZHhMHf-1x7Y/edit?usp=sharing"",""แผน!EF14"")"),20)</f>
        <v>20</v>
      </c>
      <c r="J314" s="162">
        <v>0</v>
      </c>
      <c r="K314" s="47">
        <f t="shared" ref="K314:K317" ca="1" si="141">IF(I314&gt;0,J314*100/I314,0)</f>
        <v>0</v>
      </c>
      <c r="L314" s="46"/>
      <c r="M314" s="46"/>
      <c r="N314" s="46"/>
      <c r="O314" s="46"/>
      <c r="P314" s="46"/>
    </row>
    <row r="315" spans="1:16" ht="18.75" x14ac:dyDescent="0.25">
      <c r="A315" s="148"/>
      <c r="B315" s="149"/>
      <c r="C315" s="149"/>
      <c r="D315" s="159" t="s">
        <v>123</v>
      </c>
      <c r="E315" s="155"/>
      <c r="F315" s="155"/>
      <c r="G315" s="153"/>
      <c r="H315" s="160" t="s">
        <v>33</v>
      </c>
      <c r="I315" s="169">
        <f ca="1">IFERROR(__xludf.DUMMYFUNCTION("IMPORTRANGE(""https://docs.google.com/spreadsheets/d/1eHaY18a8A9IcSdp1K8H6x8fbOy06t2VsZHhMHf-1x7Y/edit?usp=sharing"",""แผน!EG14"")"),4)</f>
        <v>4</v>
      </c>
      <c r="J315" s="162">
        <v>0</v>
      </c>
      <c r="K315" s="47">
        <f t="shared" ca="1" si="141"/>
        <v>0</v>
      </c>
      <c r="L315" s="46"/>
      <c r="M315" s="46"/>
      <c r="N315" s="46"/>
      <c r="O315" s="46"/>
      <c r="P315" s="46"/>
    </row>
    <row r="316" spans="1:16" ht="18.75" x14ac:dyDescent="0.25">
      <c r="A316" s="148"/>
      <c r="B316" s="149"/>
      <c r="C316" s="149"/>
      <c r="D316" s="159" t="s">
        <v>48</v>
      </c>
      <c r="E316" s="155"/>
      <c r="F316" s="155"/>
      <c r="G316" s="153"/>
      <c r="H316" s="160" t="s">
        <v>33</v>
      </c>
      <c r="I316" s="169">
        <f ca="1">IFERROR(__xludf.DUMMYFUNCTION("IMPORTRANGE(""https://docs.google.com/spreadsheets/d/1eHaY18a8A9IcSdp1K8H6x8fbOy06t2VsZHhMHf-1x7Y/edit?usp=sharing"",""แผน!EH14"")"),20)</f>
        <v>20</v>
      </c>
      <c r="J316" s="162">
        <v>0</v>
      </c>
      <c r="K316" s="47">
        <f t="shared" ca="1" si="141"/>
        <v>0</v>
      </c>
      <c r="L316" s="46"/>
      <c r="M316" s="46"/>
      <c r="N316" s="46"/>
      <c r="O316" s="46"/>
      <c r="P316" s="46"/>
    </row>
    <row r="317" spans="1:16" ht="18.75" hidden="1" x14ac:dyDescent="0.25">
      <c r="A317" s="227"/>
      <c r="B317" s="228"/>
      <c r="C317" s="228"/>
      <c r="D317" s="48" t="s">
        <v>124</v>
      </c>
      <c r="E317" s="41"/>
      <c r="F317" s="41"/>
      <c r="G317" s="43"/>
      <c r="H317" s="49" t="s">
        <v>33</v>
      </c>
      <c r="I317" s="200">
        <f ca="1">IFERROR(__xludf.DUMMYFUNCTION("IMPORTRANGE(""https://docs.google.com/spreadsheets/d/1eHaY18a8A9IcSdp1K8H6x8fbOy06t2VsZHhMHf-1x7Y/edit?usp=sharing"",""แผน!EI14"")"),4)</f>
        <v>4</v>
      </c>
      <c r="J317" s="200">
        <v>0</v>
      </c>
      <c r="K317" s="50">
        <f t="shared" ca="1" si="141"/>
        <v>0</v>
      </c>
      <c r="L317" s="46"/>
      <c r="M317" s="46"/>
      <c r="N317" s="46"/>
      <c r="O317" s="46"/>
      <c r="P317" s="46"/>
    </row>
    <row r="318" spans="1:16" ht="19.5" hidden="1" x14ac:dyDescent="0.3">
      <c r="A318" s="317" t="s">
        <v>125</v>
      </c>
      <c r="B318" s="318"/>
      <c r="C318" s="318"/>
      <c r="D318" s="319"/>
      <c r="E318" s="318"/>
      <c r="F318" s="318"/>
      <c r="G318" s="318"/>
      <c r="H318" s="319"/>
      <c r="I318" s="321"/>
      <c r="J318" s="321"/>
      <c r="K318" s="322"/>
      <c r="L318" s="322"/>
      <c r="M318" s="322"/>
      <c r="N318" s="322"/>
      <c r="O318" s="322"/>
      <c r="P318" s="322"/>
    </row>
    <row r="319" spans="1:16" ht="19.5" hidden="1" x14ac:dyDescent="0.3">
      <c r="A319" s="331"/>
      <c r="B319" s="324" t="s">
        <v>126</v>
      </c>
      <c r="C319" s="332"/>
      <c r="D319" s="333"/>
      <c r="E319" s="325"/>
      <c r="F319" s="325"/>
      <c r="G319" s="326"/>
      <c r="H319" s="327" t="s">
        <v>127</v>
      </c>
      <c r="I319" s="328">
        <f t="shared" ref="I319:J319" ca="1" si="142">I330</f>
        <v>0</v>
      </c>
      <c r="J319" s="328">
        <f t="shared" si="142"/>
        <v>0</v>
      </c>
      <c r="K319" s="329">
        <f ca="1">IF(I319&gt;0,J319*100/I319,0)</f>
        <v>0</v>
      </c>
      <c r="L319" s="330"/>
      <c r="M319" s="330"/>
      <c r="N319" s="330"/>
      <c r="O319" s="330"/>
      <c r="P319" s="330"/>
    </row>
    <row r="320" spans="1:16" ht="19.5" hidden="1" x14ac:dyDescent="0.3">
      <c r="A320" s="136"/>
      <c r="B320" s="41"/>
      <c r="C320" s="137" t="s">
        <v>16</v>
      </c>
      <c r="D320" s="138" t="s">
        <v>17</v>
      </c>
      <c r="E320" s="41"/>
      <c r="F320" s="41"/>
      <c r="G320" s="43"/>
      <c r="H320" s="139" t="s">
        <v>12</v>
      </c>
      <c r="I320" s="45"/>
      <c r="J320" s="45"/>
      <c r="K320" s="46"/>
      <c r="L320" s="140">
        <f t="shared" ref="L320:N320" ca="1" si="143">L321+L322</f>
        <v>0</v>
      </c>
      <c r="M320" s="140">
        <f t="shared" ca="1" si="143"/>
        <v>0</v>
      </c>
      <c r="N320" s="140">
        <f t="shared" ca="1" si="143"/>
        <v>0</v>
      </c>
      <c r="O320" s="140">
        <f t="shared" ref="O320:O328" ca="1" si="144">IF(L320&gt;0,N320*100/L320,0)</f>
        <v>0</v>
      </c>
      <c r="P320" s="140">
        <f t="shared" ref="P320:P328" ca="1" si="145">IF(M320&gt;0,N320*100/M320,0)</f>
        <v>0</v>
      </c>
    </row>
    <row r="321" spans="1:16" ht="18.75" hidden="1" x14ac:dyDescent="0.25">
      <c r="A321" s="136"/>
      <c r="B321" s="41"/>
      <c r="C321" s="41"/>
      <c r="D321" s="41"/>
      <c r="E321" s="48" t="s">
        <v>18</v>
      </c>
      <c r="F321" s="41"/>
      <c r="G321" s="43"/>
      <c r="H321" s="141" t="s">
        <v>12</v>
      </c>
      <c r="I321" s="45"/>
      <c r="J321" s="45"/>
      <c r="K321" s="46"/>
      <c r="L321" s="50">
        <f t="shared" ref="L321:N321" si="146">L324+L327</f>
        <v>0</v>
      </c>
      <c r="M321" s="50">
        <f t="shared" si="146"/>
        <v>0</v>
      </c>
      <c r="N321" s="50">
        <f t="shared" si="146"/>
        <v>0</v>
      </c>
      <c r="O321" s="50">
        <f t="shared" si="144"/>
        <v>0</v>
      </c>
      <c r="P321" s="50">
        <f t="shared" si="145"/>
        <v>0</v>
      </c>
    </row>
    <row r="322" spans="1:16" ht="18.75" hidden="1" x14ac:dyDescent="0.25">
      <c r="A322" s="136"/>
      <c r="B322" s="41"/>
      <c r="C322" s="41"/>
      <c r="D322" s="41"/>
      <c r="E322" s="51" t="s">
        <v>19</v>
      </c>
      <c r="F322" s="41"/>
      <c r="G322" s="43"/>
      <c r="H322" s="142" t="s">
        <v>12</v>
      </c>
      <c r="I322" s="45"/>
      <c r="J322" s="45"/>
      <c r="K322" s="46"/>
      <c r="L322" s="47">
        <f t="shared" ref="L322:N322" ca="1" si="147">L325+L328</f>
        <v>0</v>
      </c>
      <c r="M322" s="47">
        <f t="shared" ca="1" si="147"/>
        <v>0</v>
      </c>
      <c r="N322" s="47">
        <f t="shared" ca="1" si="147"/>
        <v>0</v>
      </c>
      <c r="O322" s="47">
        <f t="shared" ca="1" si="144"/>
        <v>0</v>
      </c>
      <c r="P322" s="47">
        <f t="shared" ca="1" si="145"/>
        <v>0</v>
      </c>
    </row>
    <row r="323" spans="1:16" ht="18.75" hidden="1" x14ac:dyDescent="0.25">
      <c r="A323" s="136"/>
      <c r="B323" s="41"/>
      <c r="C323" s="41"/>
      <c r="D323" s="42" t="s">
        <v>20</v>
      </c>
      <c r="E323" s="41"/>
      <c r="F323" s="41"/>
      <c r="G323" s="43"/>
      <c r="H323" s="143" t="s">
        <v>12</v>
      </c>
      <c r="I323" s="144"/>
      <c r="J323" s="144"/>
      <c r="K323" s="145"/>
      <c r="L323" s="47">
        <f t="shared" ref="L323:N323" ca="1" si="148">L324+L325</f>
        <v>0</v>
      </c>
      <c r="M323" s="47">
        <f t="shared" ca="1" si="148"/>
        <v>0</v>
      </c>
      <c r="N323" s="47">
        <f t="shared" ca="1" si="148"/>
        <v>0</v>
      </c>
      <c r="O323" s="47">
        <f t="shared" ca="1" si="144"/>
        <v>0</v>
      </c>
      <c r="P323" s="47">
        <f t="shared" ca="1" si="145"/>
        <v>0</v>
      </c>
    </row>
    <row r="324" spans="1:16" ht="18.75" hidden="1" x14ac:dyDescent="0.25">
      <c r="A324" s="136"/>
      <c r="B324" s="41"/>
      <c r="C324" s="41"/>
      <c r="D324" s="41"/>
      <c r="E324" s="48" t="s">
        <v>34</v>
      </c>
      <c r="F324" s="41"/>
      <c r="G324" s="43"/>
      <c r="H324" s="146" t="s">
        <v>12</v>
      </c>
      <c r="I324" s="144"/>
      <c r="J324" s="144"/>
      <c r="K324" s="145"/>
      <c r="L324" s="50">
        <v>0</v>
      </c>
      <c r="M324" s="50">
        <v>0</v>
      </c>
      <c r="N324" s="50">
        <v>0</v>
      </c>
      <c r="O324" s="50">
        <f t="shared" si="144"/>
        <v>0</v>
      </c>
      <c r="P324" s="50">
        <f t="shared" si="145"/>
        <v>0</v>
      </c>
    </row>
    <row r="325" spans="1:16" ht="18.75" hidden="1" x14ac:dyDescent="0.25">
      <c r="A325" s="136"/>
      <c r="B325" s="41"/>
      <c r="C325" s="41"/>
      <c r="D325" s="41"/>
      <c r="E325" s="51" t="s">
        <v>35</v>
      </c>
      <c r="F325" s="41"/>
      <c r="G325" s="43"/>
      <c r="H325" s="143" t="s">
        <v>12</v>
      </c>
      <c r="I325" s="144"/>
      <c r="J325" s="144"/>
      <c r="K325" s="145"/>
      <c r="L325" s="47">
        <f ca="1">IFERROR(__xludf.DUMMYFUNCTION("IMPORTRANGE(""https://docs.google.com/spreadsheets/d/1-uDff_7J0KD5mKrp0Vvzr7lt3OU09vwQwhkpOPPYv2Y/edit?usp=sharing"",""งบพรบ!EI14"")"),0)</f>
        <v>0</v>
      </c>
      <c r="M325" s="47">
        <f ca="1">IFERROR(__xludf.DUMMYFUNCTION("IMPORTRANGE(""https://docs.google.com/spreadsheets/d/1-uDff_7J0KD5mKrp0Vvzr7lt3OU09vwQwhkpOPPYv2Y/edit?usp=sharing"",""งบพรบ!EN14"")"),0)</f>
        <v>0</v>
      </c>
      <c r="N325" s="47">
        <f ca="1">IFERROR(__xludf.DUMMYFUNCTION("IMPORTRANGE(""https://docs.google.com/spreadsheets/d/1-uDff_7J0KD5mKrp0Vvzr7lt3OU09vwQwhkpOPPYv2Y/edit?usp=sharing"",""งบพรบ!EP14"")"),0)</f>
        <v>0</v>
      </c>
      <c r="O325" s="47">
        <f t="shared" ca="1" si="144"/>
        <v>0</v>
      </c>
      <c r="P325" s="47">
        <f t="shared" ca="1" si="145"/>
        <v>0</v>
      </c>
    </row>
    <row r="326" spans="1:16" ht="18.75" hidden="1" x14ac:dyDescent="0.25">
      <c r="A326" s="136"/>
      <c r="B326" s="41"/>
      <c r="C326" s="41"/>
      <c r="D326" s="42" t="s">
        <v>21</v>
      </c>
      <c r="E326" s="41"/>
      <c r="F326" s="41"/>
      <c r="G326" s="43"/>
      <c r="H326" s="147" t="s">
        <v>12</v>
      </c>
      <c r="I326" s="144"/>
      <c r="J326" s="144"/>
      <c r="K326" s="145"/>
      <c r="L326" s="47">
        <f t="shared" ref="L326:N326" ca="1" si="149">L327+L328</f>
        <v>0</v>
      </c>
      <c r="M326" s="47">
        <f t="shared" ca="1" si="149"/>
        <v>0</v>
      </c>
      <c r="N326" s="47">
        <f t="shared" ca="1" si="149"/>
        <v>0</v>
      </c>
      <c r="O326" s="47">
        <f t="shared" ca="1" si="144"/>
        <v>0</v>
      </c>
      <c r="P326" s="47">
        <f t="shared" ca="1" si="145"/>
        <v>0</v>
      </c>
    </row>
    <row r="327" spans="1:16" ht="18.75" hidden="1" x14ac:dyDescent="0.25">
      <c r="A327" s="136"/>
      <c r="B327" s="41"/>
      <c r="C327" s="41"/>
      <c r="D327" s="41"/>
      <c r="E327" s="48" t="s">
        <v>18</v>
      </c>
      <c r="F327" s="41"/>
      <c r="G327" s="43"/>
      <c r="H327" s="146" t="s">
        <v>12</v>
      </c>
      <c r="I327" s="144"/>
      <c r="J327" s="144"/>
      <c r="K327" s="145"/>
      <c r="L327" s="50">
        <v>0</v>
      </c>
      <c r="M327" s="50">
        <v>0</v>
      </c>
      <c r="N327" s="50">
        <v>0</v>
      </c>
      <c r="O327" s="50">
        <f t="shared" si="144"/>
        <v>0</v>
      </c>
      <c r="P327" s="50">
        <f t="shared" si="145"/>
        <v>0</v>
      </c>
    </row>
    <row r="328" spans="1:16" ht="18.75" hidden="1" x14ac:dyDescent="0.25">
      <c r="A328" s="136"/>
      <c r="B328" s="41"/>
      <c r="C328" s="41"/>
      <c r="D328" s="41"/>
      <c r="E328" s="51" t="s">
        <v>19</v>
      </c>
      <c r="F328" s="41"/>
      <c r="G328" s="43"/>
      <c r="H328" s="147" t="s">
        <v>12</v>
      </c>
      <c r="I328" s="144"/>
      <c r="J328" s="144"/>
      <c r="K328" s="145"/>
      <c r="L328" s="47">
        <f ca="1">IFERROR(__xludf.DUMMYFUNCTION("IMPORTRANGE(""https://docs.google.com/spreadsheets/d/1-uDff_7J0KD5mKrp0Vvzr7lt3OU09vwQwhkpOPPYv2Y/edit?usp=sharing"",""งบพรบ!EL14"")"),0)</f>
        <v>0</v>
      </c>
      <c r="M328" s="47">
        <f ca="1">IFERROR(__xludf.DUMMYFUNCTION("IMPORTRANGE(""https://docs.google.com/spreadsheets/d/1-uDff_7J0KD5mKrp0Vvzr7lt3OU09vwQwhkpOPPYv2Y/edit?usp=sharing"",""งบพรบ!EO14"")"),0)</f>
        <v>0</v>
      </c>
      <c r="N328" s="47">
        <f ca="1">IFERROR(__xludf.DUMMYFUNCTION("IMPORTRANGE(""https://docs.google.com/spreadsheets/d/1-uDff_7J0KD5mKrp0Vvzr7lt3OU09vwQwhkpOPPYv2Y/edit?usp=sharing"",""งบพรบ!EQ14"")"),0)</f>
        <v>0</v>
      </c>
      <c r="O328" s="47">
        <f t="shared" ca="1" si="144"/>
        <v>0</v>
      </c>
      <c r="P328" s="47">
        <f t="shared" ca="1" si="145"/>
        <v>0</v>
      </c>
    </row>
    <row r="329" spans="1:16" ht="19.5" hidden="1" x14ac:dyDescent="0.3">
      <c r="A329" s="148"/>
      <c r="B329" s="149"/>
      <c r="C329" s="137" t="s">
        <v>16</v>
      </c>
      <c r="D329" s="150" t="s">
        <v>36</v>
      </c>
      <c r="E329" s="151"/>
      <c r="F329" s="151"/>
      <c r="G329" s="152"/>
      <c r="H329" s="153"/>
      <c r="I329" s="144"/>
      <c r="J329" s="45"/>
      <c r="K329" s="46"/>
      <c r="L329" s="46"/>
      <c r="M329" s="46"/>
      <c r="N329" s="46"/>
      <c r="O329" s="145"/>
      <c r="P329" s="145"/>
    </row>
    <row r="330" spans="1:16" ht="18.75" hidden="1" x14ac:dyDescent="0.25">
      <c r="A330" s="148"/>
      <c r="B330" s="149"/>
      <c r="C330" s="149"/>
      <c r="D330" s="154" t="s">
        <v>128</v>
      </c>
      <c r="E330" s="155"/>
      <c r="F330" s="155"/>
      <c r="G330" s="153"/>
      <c r="H330" s="44" t="s">
        <v>127</v>
      </c>
      <c r="I330" s="169">
        <f ca="1">IFERROR(__xludf.DUMMYFUNCTION("IMPORTRANGE(""https://docs.google.com/spreadsheets/d/1eHaY18a8A9IcSdp1K8H6x8fbOy06t2VsZHhMHf-1x7Y/edit?usp=sharing"",""แผน!EJ14"")"),0)</f>
        <v>0</v>
      </c>
      <c r="J330" s="162">
        <v>0</v>
      </c>
      <c r="K330" s="47">
        <f ca="1">IF(I330&gt;0,J330*100/I330,0)</f>
        <v>0</v>
      </c>
      <c r="L330" s="46"/>
      <c r="M330" s="46"/>
      <c r="N330" s="46"/>
      <c r="O330" s="145"/>
      <c r="P330" s="145"/>
    </row>
    <row r="331" spans="1:16" ht="19.5" x14ac:dyDescent="0.3">
      <c r="A331" s="317" t="s">
        <v>129</v>
      </c>
      <c r="B331" s="318"/>
      <c r="C331" s="318"/>
      <c r="D331" s="319"/>
      <c r="E331" s="318"/>
      <c r="F331" s="318"/>
      <c r="G331" s="318"/>
      <c r="H331" s="319"/>
      <c r="I331" s="321"/>
      <c r="J331" s="321"/>
      <c r="K331" s="322"/>
      <c r="L331" s="322"/>
      <c r="M331" s="322"/>
      <c r="N331" s="322"/>
      <c r="O331" s="322"/>
      <c r="P331" s="322"/>
    </row>
    <row r="332" spans="1:16" ht="19.5" x14ac:dyDescent="0.3">
      <c r="A332" s="323"/>
      <c r="B332" s="324" t="s">
        <v>130</v>
      </c>
      <c r="C332" s="333"/>
      <c r="D332" s="325"/>
      <c r="E332" s="325"/>
      <c r="F332" s="325"/>
      <c r="G332" s="326"/>
      <c r="H332" s="327" t="s">
        <v>33</v>
      </c>
      <c r="I332" s="334">
        <f ca="1">I344</f>
        <v>5000</v>
      </c>
      <c r="J332" s="335">
        <f ca="1">J344+J347+J348+J349+J353</f>
        <v>2041</v>
      </c>
      <c r="K332" s="336">
        <f ca="1">IF(I332&gt;0,J332*100/I332,0)</f>
        <v>40.82</v>
      </c>
      <c r="L332" s="330"/>
      <c r="M332" s="330"/>
      <c r="N332" s="330"/>
      <c r="O332" s="330"/>
      <c r="P332" s="330"/>
    </row>
    <row r="333" spans="1:16" ht="19.5" x14ac:dyDescent="0.3">
      <c r="A333" s="136"/>
      <c r="B333" s="41"/>
      <c r="C333" s="137" t="s">
        <v>16</v>
      </c>
      <c r="D333" s="138" t="s">
        <v>17</v>
      </c>
      <c r="E333" s="41"/>
      <c r="F333" s="41"/>
      <c r="G333" s="43"/>
      <c r="H333" s="139" t="s">
        <v>12</v>
      </c>
      <c r="I333" s="45"/>
      <c r="J333" s="45"/>
      <c r="K333" s="46"/>
      <c r="L333" s="140">
        <f t="shared" ref="L333:N333" ca="1" si="150">L334+L335</f>
        <v>116000</v>
      </c>
      <c r="M333" s="140">
        <f t="shared" ca="1" si="150"/>
        <v>90550</v>
      </c>
      <c r="N333" s="140">
        <f t="shared" ca="1" si="150"/>
        <v>10000</v>
      </c>
      <c r="O333" s="140">
        <f t="shared" ref="O333:O341" ca="1" si="151">IF(L333&gt;0,N333*100/L333,0)</f>
        <v>8.6206896551724146</v>
      </c>
      <c r="P333" s="140">
        <f t="shared" ref="P333:P341" ca="1" si="152">IF(M333&gt;0,N333*100/M333,0)</f>
        <v>11.043622308117062</v>
      </c>
    </row>
    <row r="334" spans="1:16" ht="18.75" hidden="1" x14ac:dyDescent="0.25">
      <c r="A334" s="136"/>
      <c r="B334" s="41"/>
      <c r="C334" s="41"/>
      <c r="D334" s="41"/>
      <c r="E334" s="48" t="s">
        <v>18</v>
      </c>
      <c r="F334" s="41"/>
      <c r="G334" s="43"/>
      <c r="H334" s="141" t="s">
        <v>12</v>
      </c>
      <c r="I334" s="45"/>
      <c r="J334" s="45"/>
      <c r="K334" s="46"/>
      <c r="L334" s="50">
        <f t="shared" ref="L334:N334" si="153">L337+L340</f>
        <v>0</v>
      </c>
      <c r="M334" s="50">
        <f t="shared" si="153"/>
        <v>0</v>
      </c>
      <c r="N334" s="50">
        <f t="shared" si="153"/>
        <v>0</v>
      </c>
      <c r="O334" s="50">
        <f t="shared" si="151"/>
        <v>0</v>
      </c>
      <c r="P334" s="50">
        <f t="shared" si="152"/>
        <v>0</v>
      </c>
    </row>
    <row r="335" spans="1:16" ht="18.75" x14ac:dyDescent="0.25">
      <c r="A335" s="136"/>
      <c r="B335" s="41"/>
      <c r="C335" s="41"/>
      <c r="D335" s="41"/>
      <c r="E335" s="51" t="s">
        <v>19</v>
      </c>
      <c r="F335" s="41"/>
      <c r="G335" s="43"/>
      <c r="H335" s="142" t="s">
        <v>12</v>
      </c>
      <c r="I335" s="45"/>
      <c r="J335" s="45"/>
      <c r="K335" s="46"/>
      <c r="L335" s="47">
        <f t="shared" ref="L335:N335" ca="1" si="154">L338+L341</f>
        <v>116000</v>
      </c>
      <c r="M335" s="47">
        <f t="shared" ca="1" si="154"/>
        <v>90550</v>
      </c>
      <c r="N335" s="47">
        <f t="shared" ca="1" si="154"/>
        <v>10000</v>
      </c>
      <c r="O335" s="47">
        <f t="shared" ca="1" si="151"/>
        <v>8.6206896551724146</v>
      </c>
      <c r="P335" s="47">
        <f t="shared" ca="1" si="152"/>
        <v>11.043622308117062</v>
      </c>
    </row>
    <row r="336" spans="1:16" ht="18.75" x14ac:dyDescent="0.25">
      <c r="A336" s="136"/>
      <c r="B336" s="41"/>
      <c r="C336" s="41"/>
      <c r="D336" s="42" t="s">
        <v>20</v>
      </c>
      <c r="E336" s="41"/>
      <c r="F336" s="41"/>
      <c r="G336" s="43"/>
      <c r="H336" s="143" t="s">
        <v>12</v>
      </c>
      <c r="I336" s="144"/>
      <c r="J336" s="144"/>
      <c r="K336" s="145"/>
      <c r="L336" s="47">
        <f t="shared" ref="L336:N336" ca="1" si="155">L337+L338</f>
        <v>116000</v>
      </c>
      <c r="M336" s="47">
        <f t="shared" ca="1" si="155"/>
        <v>90550</v>
      </c>
      <c r="N336" s="47">
        <f t="shared" ca="1" si="155"/>
        <v>10000</v>
      </c>
      <c r="O336" s="47">
        <f t="shared" ca="1" si="151"/>
        <v>8.6206896551724146</v>
      </c>
      <c r="P336" s="47">
        <f t="shared" ca="1" si="152"/>
        <v>11.043622308117062</v>
      </c>
    </row>
    <row r="337" spans="1:16" ht="18.75" hidden="1" x14ac:dyDescent="0.25">
      <c r="A337" s="136"/>
      <c r="B337" s="41"/>
      <c r="C337" s="41"/>
      <c r="D337" s="41"/>
      <c r="E337" s="48" t="s">
        <v>34</v>
      </c>
      <c r="F337" s="41"/>
      <c r="G337" s="43"/>
      <c r="H337" s="146" t="s">
        <v>12</v>
      </c>
      <c r="I337" s="144"/>
      <c r="J337" s="144"/>
      <c r="K337" s="145"/>
      <c r="L337" s="50">
        <v>0</v>
      </c>
      <c r="M337" s="50">
        <v>0</v>
      </c>
      <c r="N337" s="50">
        <v>0</v>
      </c>
      <c r="O337" s="50">
        <f t="shared" si="151"/>
        <v>0</v>
      </c>
      <c r="P337" s="50">
        <f t="shared" si="152"/>
        <v>0</v>
      </c>
    </row>
    <row r="338" spans="1:16" ht="18.75" x14ac:dyDescent="0.25">
      <c r="A338" s="136"/>
      <c r="B338" s="41"/>
      <c r="C338" s="41"/>
      <c r="D338" s="41"/>
      <c r="E338" s="51" t="s">
        <v>35</v>
      </c>
      <c r="F338" s="41"/>
      <c r="G338" s="43"/>
      <c r="H338" s="143" t="s">
        <v>12</v>
      </c>
      <c r="I338" s="144"/>
      <c r="J338" s="144"/>
      <c r="K338" s="145"/>
      <c r="L338" s="47">
        <f ca="1">IFERROR(__xludf.DUMMYFUNCTION("IMPORTRANGE(""https://docs.google.com/spreadsheets/d/1-uDff_7J0KD5mKrp0Vvzr7lt3OU09vwQwhkpOPPYv2Y/edit?usp=sharing"",""งบพรบ!ES14"")"),116000)</f>
        <v>116000</v>
      </c>
      <c r="M338" s="47">
        <f ca="1">IFERROR(__xludf.DUMMYFUNCTION("IMPORTRANGE(""https://docs.google.com/spreadsheets/d/1-uDff_7J0KD5mKrp0Vvzr7lt3OU09vwQwhkpOPPYv2Y/edit?usp=sharing"",""งบพรบ!EX14"")"),90550)</f>
        <v>90550</v>
      </c>
      <c r="N338" s="47">
        <f ca="1">IFERROR(__xludf.DUMMYFUNCTION("IMPORTRANGE(""https://docs.google.com/spreadsheets/d/1-uDff_7J0KD5mKrp0Vvzr7lt3OU09vwQwhkpOPPYv2Y/edit?usp=sharing"",""งบพรบ!EZ14"")"),10000)</f>
        <v>10000</v>
      </c>
      <c r="O338" s="47">
        <f t="shared" ca="1" si="151"/>
        <v>8.6206896551724146</v>
      </c>
      <c r="P338" s="47">
        <f t="shared" ca="1" si="152"/>
        <v>11.043622308117062</v>
      </c>
    </row>
    <row r="339" spans="1:16" ht="18.75" x14ac:dyDescent="0.25">
      <c r="A339" s="136"/>
      <c r="B339" s="41"/>
      <c r="C339" s="41"/>
      <c r="D339" s="42" t="s">
        <v>21</v>
      </c>
      <c r="E339" s="41"/>
      <c r="F339" s="41"/>
      <c r="G339" s="43"/>
      <c r="H339" s="147" t="s">
        <v>12</v>
      </c>
      <c r="I339" s="144"/>
      <c r="J339" s="144"/>
      <c r="K339" s="145"/>
      <c r="L339" s="47">
        <f t="shared" ref="L339:N339" ca="1" si="156">L340+L341</f>
        <v>0</v>
      </c>
      <c r="M339" s="47">
        <f t="shared" ca="1" si="156"/>
        <v>0</v>
      </c>
      <c r="N339" s="47">
        <f t="shared" ca="1" si="156"/>
        <v>0</v>
      </c>
      <c r="O339" s="47">
        <f t="shared" ca="1" si="151"/>
        <v>0</v>
      </c>
      <c r="P339" s="47">
        <f t="shared" ca="1" si="152"/>
        <v>0</v>
      </c>
    </row>
    <row r="340" spans="1:16" ht="18.75" hidden="1" x14ac:dyDescent="0.25">
      <c r="A340" s="136"/>
      <c r="B340" s="41"/>
      <c r="C340" s="41"/>
      <c r="D340" s="41"/>
      <c r="E340" s="48" t="s">
        <v>18</v>
      </c>
      <c r="F340" s="41"/>
      <c r="G340" s="43"/>
      <c r="H340" s="146" t="s">
        <v>12</v>
      </c>
      <c r="I340" s="144"/>
      <c r="J340" s="144"/>
      <c r="K340" s="145"/>
      <c r="L340" s="50">
        <v>0</v>
      </c>
      <c r="M340" s="50">
        <v>0</v>
      </c>
      <c r="N340" s="50">
        <v>0</v>
      </c>
      <c r="O340" s="50">
        <f t="shared" si="151"/>
        <v>0</v>
      </c>
      <c r="P340" s="50">
        <f t="shared" si="152"/>
        <v>0</v>
      </c>
    </row>
    <row r="341" spans="1:16" ht="18.75" x14ac:dyDescent="0.25">
      <c r="A341" s="136"/>
      <c r="B341" s="41"/>
      <c r="C341" s="41"/>
      <c r="D341" s="41"/>
      <c r="E341" s="51" t="s">
        <v>19</v>
      </c>
      <c r="F341" s="41"/>
      <c r="G341" s="43"/>
      <c r="H341" s="147" t="s">
        <v>12</v>
      </c>
      <c r="I341" s="144"/>
      <c r="J341" s="144"/>
      <c r="K341" s="145"/>
      <c r="L341" s="47">
        <f ca="1">IFERROR(__xludf.DUMMYFUNCTION("IMPORTRANGE(""https://docs.google.com/spreadsheets/d/1-uDff_7J0KD5mKrp0Vvzr7lt3OU09vwQwhkpOPPYv2Y/edit?usp=sharing"",""งบพรบ!EV14"")"),0)</f>
        <v>0</v>
      </c>
      <c r="M341" s="47">
        <f ca="1">IFERROR(__xludf.DUMMYFUNCTION("IMPORTRANGE(""https://docs.google.com/spreadsheets/d/1-uDff_7J0KD5mKrp0Vvzr7lt3OU09vwQwhkpOPPYv2Y/edit?usp=sharing"",""งบพรบ!EY14"")"),0)</f>
        <v>0</v>
      </c>
      <c r="N341" s="47">
        <f ca="1">IFERROR(__xludf.DUMMYFUNCTION("IMPORTRANGE(""https://docs.google.com/spreadsheets/d/1-uDff_7J0KD5mKrp0Vvzr7lt3OU09vwQwhkpOPPYv2Y/edit?usp=sharing"",""งบพรบ!FA14"")"),0)</f>
        <v>0</v>
      </c>
      <c r="O341" s="47">
        <f t="shared" ca="1" si="151"/>
        <v>0</v>
      </c>
      <c r="P341" s="47">
        <f t="shared" ca="1" si="152"/>
        <v>0</v>
      </c>
    </row>
    <row r="342" spans="1:16" ht="19.5" x14ac:dyDescent="0.3">
      <c r="A342" s="148"/>
      <c r="B342" s="149"/>
      <c r="C342" s="137" t="s">
        <v>16</v>
      </c>
      <c r="D342" s="221" t="s">
        <v>36</v>
      </c>
      <c r="E342" s="151"/>
      <c r="F342" s="151"/>
      <c r="G342" s="152"/>
      <c r="H342" s="43"/>
      <c r="I342" s="45"/>
      <c r="J342" s="45"/>
      <c r="K342" s="46"/>
      <c r="L342" s="46"/>
      <c r="M342" s="46"/>
      <c r="N342" s="46"/>
      <c r="O342" s="145"/>
      <c r="P342" s="145"/>
    </row>
    <row r="343" spans="1:16" ht="19.5" x14ac:dyDescent="0.3">
      <c r="A343" s="337"/>
      <c r="B343" s="338"/>
      <c r="C343" s="339"/>
      <c r="D343" s="338"/>
      <c r="E343" s="340" t="s">
        <v>131</v>
      </c>
      <c r="F343" s="338"/>
      <c r="G343" s="341"/>
      <c r="H343" s="342" t="s">
        <v>33</v>
      </c>
      <c r="I343" s="343">
        <v>0</v>
      </c>
      <c r="J343" s="343">
        <f ca="1">J344+J347+J348+J349</f>
        <v>1713</v>
      </c>
      <c r="K343" s="344">
        <v>0</v>
      </c>
      <c r="L343" s="345"/>
      <c r="M343" s="345"/>
      <c r="N343" s="345"/>
      <c r="O343" s="345"/>
      <c r="P343" s="345"/>
    </row>
    <row r="344" spans="1:16" ht="18.75" x14ac:dyDescent="0.25">
      <c r="A344" s="227"/>
      <c r="B344" s="41"/>
      <c r="C344" s="228"/>
      <c r="D344" s="155"/>
      <c r="E344" s="159" t="s">
        <v>132</v>
      </c>
      <c r="F344" s="41"/>
      <c r="G344" s="43"/>
      <c r="H344" s="230" t="s">
        <v>33</v>
      </c>
      <c r="I344" s="169">
        <f ca="1">IFERROR(__xludf.DUMMYFUNCTION("IMPORTRANGE(""https://docs.google.com/spreadsheets/d/1eHaY18a8A9IcSdp1K8H6x8fbOy06t2VsZHhMHf-1x7Y/edit?usp=sharing"",""แผน!EK14"")"),5000)</f>
        <v>5000</v>
      </c>
      <c r="J344" s="169">
        <f ca="1">IFERROR(__xludf.DUMMYFUNCTION("IMPORTRANGE(""https://docs.google.com/spreadsheets/d/1awYsYK3VOup2i3Pq_Yjnu8DRu_mYwSBnCR2QPthd0rU/edit?usp=sharing"",""ศูนย์ยกเว้นโฉนด!D14"")"),1711)</f>
        <v>1711</v>
      </c>
      <c r="K344" s="47">
        <f ca="1">IF(I344&gt;0,J344*100/I344,0)</f>
        <v>34.22</v>
      </c>
      <c r="L344" s="46"/>
      <c r="M344" s="46"/>
      <c r="N344" s="46"/>
      <c r="O344" s="46"/>
      <c r="P344" s="46"/>
    </row>
    <row r="345" spans="1:16" ht="18.75" x14ac:dyDescent="0.25">
      <c r="A345" s="227"/>
      <c r="B345" s="41"/>
      <c r="C345" s="228"/>
      <c r="D345" s="155"/>
      <c r="E345" s="159" t="s">
        <v>133</v>
      </c>
      <c r="F345" s="41"/>
      <c r="G345" s="43"/>
      <c r="H345" s="346"/>
      <c r="I345" s="45"/>
      <c r="J345" s="45"/>
      <c r="K345" s="46"/>
      <c r="L345" s="46"/>
      <c r="M345" s="46"/>
      <c r="N345" s="46"/>
      <c r="O345" s="46"/>
      <c r="P345" s="46"/>
    </row>
    <row r="346" spans="1:16" ht="18.75" x14ac:dyDescent="0.25">
      <c r="A346" s="227"/>
      <c r="B346" s="41"/>
      <c r="C346" s="228"/>
      <c r="D346" s="155"/>
      <c r="E346" s="155"/>
      <c r="F346" s="159" t="s">
        <v>134</v>
      </c>
      <c r="G346" s="43"/>
      <c r="H346" s="347" t="s">
        <v>135</v>
      </c>
      <c r="I346" s="169">
        <f ca="1">IFERROR(__xludf.DUMMYFUNCTION("IMPORTRANGE(""https://docs.google.com/spreadsheets/d/1eHaY18a8A9IcSdp1K8H6x8fbOy06t2VsZHhMHf-1x7Y/edit?usp=sharing"",""แผน!EL14"")"),5)</f>
        <v>5</v>
      </c>
      <c r="J346" s="169">
        <f ca="1">IFERROR(__xludf.DUMMYFUNCTION("IMPORTRANGE(""https://docs.google.com/spreadsheets/d/1awYsYK3VOup2i3Pq_Yjnu8DRu_mYwSBnCR2QPthd0rU/edit?usp=sharing"",""ศูนย์รวม!E14"")"),1)</f>
        <v>1</v>
      </c>
      <c r="K346" s="47">
        <f ca="1">IF(I346&gt;0,J346*100/I346,0)</f>
        <v>20</v>
      </c>
      <c r="L346" s="46"/>
      <c r="M346" s="46"/>
      <c r="N346" s="46"/>
      <c r="O346" s="46"/>
      <c r="P346" s="46"/>
    </row>
    <row r="347" spans="1:16" ht="18.75" x14ac:dyDescent="0.25">
      <c r="A347" s="227"/>
      <c r="B347" s="41"/>
      <c r="C347" s="228"/>
      <c r="D347" s="155"/>
      <c r="E347" s="155"/>
      <c r="F347" s="159" t="s">
        <v>136</v>
      </c>
      <c r="G347" s="43"/>
      <c r="H347" s="347" t="s">
        <v>33</v>
      </c>
      <c r="I347" s="45"/>
      <c r="J347" s="169">
        <f ca="1">IFERROR(__xludf.DUMMYFUNCTION("IMPORTRANGE(""https://docs.google.com/spreadsheets/d/1awYsYK3VOup2i3Pq_Yjnu8DRu_mYwSBnCR2QPthd0rU/edit?usp=sharing"",""ศูนย์ยกเว้นโฉนด!F14"")"),0)</f>
        <v>0</v>
      </c>
      <c r="K347" s="46"/>
      <c r="L347" s="46"/>
      <c r="M347" s="46"/>
      <c r="N347" s="46"/>
      <c r="O347" s="46"/>
      <c r="P347" s="46"/>
    </row>
    <row r="348" spans="1:16" ht="18.75" x14ac:dyDescent="0.25">
      <c r="A348" s="227"/>
      <c r="B348" s="41"/>
      <c r="C348" s="228"/>
      <c r="D348" s="155"/>
      <c r="E348" s="159" t="s">
        <v>137</v>
      </c>
      <c r="F348" s="155"/>
      <c r="G348" s="43"/>
      <c r="H348" s="347" t="s">
        <v>33</v>
      </c>
      <c r="I348" s="45"/>
      <c r="J348" s="169">
        <f ca="1">IFERROR(__xludf.DUMMYFUNCTION("IMPORTRANGE(""https://docs.google.com/spreadsheets/d/1awYsYK3VOup2i3Pq_Yjnu8DRu_mYwSBnCR2QPthd0rU/edit?usp=sharing"",""ศูนย์ยกเว้นโฉนด!G14"")"),2)</f>
        <v>2</v>
      </c>
      <c r="K348" s="46"/>
      <c r="L348" s="46"/>
      <c r="M348" s="46"/>
      <c r="N348" s="46"/>
      <c r="O348" s="46"/>
      <c r="P348" s="46"/>
    </row>
    <row r="349" spans="1:16" ht="18.75" x14ac:dyDescent="0.25">
      <c r="A349" s="227"/>
      <c r="B349" s="41"/>
      <c r="C349" s="228"/>
      <c r="D349" s="149"/>
      <c r="E349" s="159" t="s">
        <v>138</v>
      </c>
      <c r="F349" s="155"/>
      <c r="G349" s="43"/>
      <c r="H349" s="347" t="s">
        <v>33</v>
      </c>
      <c r="I349" s="45"/>
      <c r="J349" s="169">
        <f ca="1">IFERROR(__xludf.DUMMYFUNCTION("IMPORTRANGE(""https://docs.google.com/spreadsheets/d/1awYsYK3VOup2i3Pq_Yjnu8DRu_mYwSBnCR2QPthd0rU/edit?usp=sharing"",""ศูนย์ยกเว้นโฉนด!H14"")"),0)</f>
        <v>0</v>
      </c>
      <c r="K349" s="46"/>
      <c r="L349" s="46"/>
      <c r="M349" s="46"/>
      <c r="N349" s="46"/>
      <c r="O349" s="46"/>
      <c r="P349" s="46"/>
    </row>
    <row r="350" spans="1:16" ht="16.5" x14ac:dyDescent="0.25">
      <c r="A350" s="228"/>
      <c r="B350" s="41"/>
      <c r="C350" s="228"/>
      <c r="D350" s="34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1"/>
      <c r="F350" s="41"/>
      <c r="G350" s="43"/>
      <c r="H350" s="346"/>
      <c r="I350" s="45"/>
      <c r="J350" s="45"/>
      <c r="K350" s="46"/>
      <c r="L350" s="46"/>
      <c r="M350" s="46"/>
      <c r="N350" s="46"/>
      <c r="O350" s="46"/>
      <c r="P350" s="46"/>
    </row>
    <row r="351" spans="1:16" ht="19.5" x14ac:dyDescent="0.3">
      <c r="A351" s="233"/>
      <c r="B351" s="236"/>
      <c r="C351" s="234"/>
      <c r="D351" s="236"/>
      <c r="E351" s="349" t="s">
        <v>139</v>
      </c>
      <c r="F351" s="236"/>
      <c r="G351" s="237"/>
      <c r="H351" s="238" t="s">
        <v>33</v>
      </c>
      <c r="I351" s="239">
        <v>0</v>
      </c>
      <c r="J351" s="239">
        <f ca="1">J352+J353</f>
        <v>1629</v>
      </c>
      <c r="K351" s="240">
        <v>0</v>
      </c>
      <c r="L351" s="241"/>
      <c r="M351" s="241"/>
      <c r="N351" s="241"/>
      <c r="O351" s="241"/>
      <c r="P351" s="241"/>
    </row>
    <row r="352" spans="1:16" ht="18.75" x14ac:dyDescent="0.25">
      <c r="A352" s="228"/>
      <c r="B352" s="41"/>
      <c r="C352" s="228"/>
      <c r="D352" s="155"/>
      <c r="E352" s="159" t="s">
        <v>140</v>
      </c>
      <c r="F352" s="41"/>
      <c r="G352" s="43"/>
      <c r="H352" s="142" t="s">
        <v>33</v>
      </c>
      <c r="I352" s="45"/>
      <c r="J352" s="169">
        <f ca="1">IFERROR(__xludf.DUMMYFUNCTION("IMPORTRANGE(""https://docs.google.com/spreadsheets/d/1awYsYK3VOup2i3Pq_Yjnu8DRu_mYwSBnCR2QPthd0rU/edit?usp=sharing"",""โฉนดM3!G14"")"),1301)</f>
        <v>1301</v>
      </c>
      <c r="K352" s="46"/>
      <c r="L352" s="46"/>
      <c r="M352" s="46"/>
      <c r="N352" s="46"/>
      <c r="O352" s="46"/>
      <c r="P352" s="46"/>
    </row>
    <row r="353" spans="1:16" ht="18.75" x14ac:dyDescent="0.25">
      <c r="A353" s="228"/>
      <c r="B353" s="41"/>
      <c r="C353" s="228"/>
      <c r="D353" s="155"/>
      <c r="E353" s="159" t="s">
        <v>141</v>
      </c>
      <c r="F353" s="41"/>
      <c r="G353" s="43"/>
      <c r="H353" s="142" t="s">
        <v>33</v>
      </c>
      <c r="I353" s="45"/>
      <c r="J353" s="169">
        <f ca="1">IFERROR(__xludf.DUMMYFUNCTION("IMPORTRANGE(""https://docs.google.com/spreadsheets/d/1awYsYK3VOup2i3Pq_Yjnu8DRu_mYwSBnCR2QPthd0rU/edit?usp=sharing"",""โฉนดM3!H14"")"),328)</f>
        <v>328</v>
      </c>
      <c r="K353" s="46"/>
      <c r="L353" s="46"/>
      <c r="M353" s="46"/>
      <c r="N353" s="46"/>
      <c r="O353" s="46"/>
      <c r="P353" s="46"/>
    </row>
    <row r="354" spans="1:16" ht="16.5" x14ac:dyDescent="0.25">
      <c r="A354" s="228"/>
      <c r="B354" s="41"/>
      <c r="C354" s="228"/>
      <c r="D354" s="34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1"/>
      <c r="F354" s="41"/>
      <c r="G354" s="43"/>
      <c r="H354" s="346"/>
      <c r="I354" s="45"/>
      <c r="J354" s="45"/>
      <c r="K354" s="46"/>
      <c r="L354" s="46"/>
      <c r="M354" s="46"/>
      <c r="N354" s="46"/>
      <c r="O354" s="46"/>
      <c r="P354" s="46"/>
    </row>
    <row r="355" spans="1:16" ht="19.5" x14ac:dyDescent="0.3">
      <c r="A355" s="323"/>
      <c r="B355" s="324" t="s">
        <v>142</v>
      </c>
      <c r="C355" s="333"/>
      <c r="D355" s="325"/>
      <c r="E355" s="325"/>
      <c r="F355" s="325"/>
      <c r="G355" s="326"/>
      <c r="H355" s="326"/>
      <c r="I355" s="350"/>
      <c r="J355" s="350"/>
      <c r="K355" s="330"/>
      <c r="L355" s="330"/>
      <c r="M355" s="330"/>
      <c r="N355" s="330"/>
      <c r="O355" s="330"/>
      <c r="P355" s="330"/>
    </row>
    <row r="356" spans="1:16" ht="19.5" x14ac:dyDescent="0.3">
      <c r="A356" s="136"/>
      <c r="B356" s="41"/>
      <c r="C356" s="137" t="s">
        <v>16</v>
      </c>
      <c r="D356" s="138" t="s">
        <v>17</v>
      </c>
      <c r="E356" s="41"/>
      <c r="F356" s="41"/>
      <c r="G356" s="43"/>
      <c r="H356" s="139" t="s">
        <v>12</v>
      </c>
      <c r="I356" s="45"/>
      <c r="J356" s="45"/>
      <c r="K356" s="46"/>
      <c r="L356" s="140">
        <f t="shared" ref="L356:N356" ca="1" si="157">L357+L358</f>
        <v>633060</v>
      </c>
      <c r="M356" s="140">
        <f t="shared" ca="1" si="157"/>
        <v>524060</v>
      </c>
      <c r="N356" s="140">
        <f t="shared" ca="1" si="157"/>
        <v>171480</v>
      </c>
      <c r="O356" s="140">
        <f t="shared" ref="O356:O364" ca="1" si="158">IF(L356&gt;0,N356*100/L356,0)</f>
        <v>27.087479859728937</v>
      </c>
      <c r="P356" s="140">
        <f t="shared" ref="P356:P364" ca="1" si="159">IF(M356&gt;0,N356*100/M356,0)</f>
        <v>32.721444109453117</v>
      </c>
    </row>
    <row r="357" spans="1:16" ht="18.75" hidden="1" x14ac:dyDescent="0.25">
      <c r="A357" s="136"/>
      <c r="B357" s="41"/>
      <c r="C357" s="41"/>
      <c r="D357" s="41"/>
      <c r="E357" s="48" t="s">
        <v>18</v>
      </c>
      <c r="F357" s="41"/>
      <c r="G357" s="43"/>
      <c r="H357" s="141" t="s">
        <v>12</v>
      </c>
      <c r="I357" s="45"/>
      <c r="J357" s="45"/>
      <c r="K357" s="46"/>
      <c r="L357" s="50">
        <f t="shared" ref="L357:N357" si="160">L360+L363</f>
        <v>0</v>
      </c>
      <c r="M357" s="50">
        <f t="shared" si="160"/>
        <v>0</v>
      </c>
      <c r="N357" s="50">
        <f t="shared" si="160"/>
        <v>0</v>
      </c>
      <c r="O357" s="50">
        <f t="shared" si="158"/>
        <v>0</v>
      </c>
      <c r="P357" s="50">
        <f t="shared" si="159"/>
        <v>0</v>
      </c>
    </row>
    <row r="358" spans="1:16" ht="18.75" x14ac:dyDescent="0.25">
      <c r="A358" s="136"/>
      <c r="B358" s="41"/>
      <c r="C358" s="41"/>
      <c r="D358" s="41"/>
      <c r="E358" s="51" t="s">
        <v>19</v>
      </c>
      <c r="F358" s="41"/>
      <c r="G358" s="43"/>
      <c r="H358" s="142" t="s">
        <v>12</v>
      </c>
      <c r="I358" s="45"/>
      <c r="J358" s="45"/>
      <c r="K358" s="46"/>
      <c r="L358" s="47">
        <f t="shared" ref="L358:N358" ca="1" si="161">L361+L364</f>
        <v>633060</v>
      </c>
      <c r="M358" s="47">
        <f t="shared" ca="1" si="161"/>
        <v>524060</v>
      </c>
      <c r="N358" s="47">
        <f t="shared" ca="1" si="161"/>
        <v>171480</v>
      </c>
      <c r="O358" s="47">
        <f t="shared" ca="1" si="158"/>
        <v>27.087479859728937</v>
      </c>
      <c r="P358" s="47">
        <f t="shared" ca="1" si="159"/>
        <v>32.721444109453117</v>
      </c>
    </row>
    <row r="359" spans="1:16" ht="18.75" x14ac:dyDescent="0.25">
      <c r="A359" s="136"/>
      <c r="B359" s="41"/>
      <c r="C359" s="41"/>
      <c r="D359" s="42" t="s">
        <v>20</v>
      </c>
      <c r="E359" s="41"/>
      <c r="F359" s="41"/>
      <c r="G359" s="43"/>
      <c r="H359" s="143" t="s">
        <v>12</v>
      </c>
      <c r="I359" s="144"/>
      <c r="J359" s="144"/>
      <c r="K359" s="145"/>
      <c r="L359" s="47">
        <f t="shared" ref="L359:N359" ca="1" si="162">L360+L361</f>
        <v>633060</v>
      </c>
      <c r="M359" s="47">
        <f t="shared" ca="1" si="162"/>
        <v>524060</v>
      </c>
      <c r="N359" s="47">
        <f t="shared" ca="1" si="162"/>
        <v>171480</v>
      </c>
      <c r="O359" s="47">
        <f t="shared" ca="1" si="158"/>
        <v>27.087479859728937</v>
      </c>
      <c r="P359" s="47">
        <f t="shared" ca="1" si="159"/>
        <v>32.721444109453117</v>
      </c>
    </row>
    <row r="360" spans="1:16" ht="18.75" hidden="1" x14ac:dyDescent="0.25">
      <c r="A360" s="136"/>
      <c r="B360" s="41"/>
      <c r="C360" s="41"/>
      <c r="D360" s="41"/>
      <c r="E360" s="48" t="s">
        <v>34</v>
      </c>
      <c r="F360" s="41"/>
      <c r="G360" s="43"/>
      <c r="H360" s="146" t="s">
        <v>12</v>
      </c>
      <c r="I360" s="144"/>
      <c r="J360" s="144"/>
      <c r="K360" s="145"/>
      <c r="L360" s="50">
        <v>0</v>
      </c>
      <c r="M360" s="50">
        <v>0</v>
      </c>
      <c r="N360" s="50">
        <v>0</v>
      </c>
      <c r="O360" s="50">
        <f t="shared" si="158"/>
        <v>0</v>
      </c>
      <c r="P360" s="50">
        <f t="shared" si="159"/>
        <v>0</v>
      </c>
    </row>
    <row r="361" spans="1:16" ht="18.75" x14ac:dyDescent="0.25">
      <c r="A361" s="136"/>
      <c r="B361" s="41"/>
      <c r="C361" s="41"/>
      <c r="D361" s="41"/>
      <c r="E361" s="51" t="s">
        <v>35</v>
      </c>
      <c r="F361" s="41"/>
      <c r="G361" s="43"/>
      <c r="H361" s="143" t="s">
        <v>12</v>
      </c>
      <c r="I361" s="144"/>
      <c r="J361" s="144"/>
      <c r="K361" s="145"/>
      <c r="L361" s="47">
        <f ca="1">IFERROR(__xludf.DUMMYFUNCTION("IMPORTRANGE(""https://docs.google.com/spreadsheets/d/1-uDff_7J0KD5mKrp0Vvzr7lt3OU09vwQwhkpOPPYv2Y/edit?usp=sharing"",""งบพรบ!FC14"")"),633060)</f>
        <v>633060</v>
      </c>
      <c r="M361" s="47">
        <f ca="1">IFERROR(__xludf.DUMMYFUNCTION("IMPORTRANGE(""https://docs.google.com/spreadsheets/d/1-uDff_7J0KD5mKrp0Vvzr7lt3OU09vwQwhkpOPPYv2Y/edit?usp=sharing"",""งบพรบ!FH14"")"),524060)</f>
        <v>524060</v>
      </c>
      <c r="N361" s="47">
        <f ca="1">IFERROR(__xludf.DUMMYFUNCTION("IMPORTRANGE(""https://docs.google.com/spreadsheets/d/1-uDff_7J0KD5mKrp0Vvzr7lt3OU09vwQwhkpOPPYv2Y/edit?usp=sharing"",""งบพรบ!FJ14"")"),171480)</f>
        <v>171480</v>
      </c>
      <c r="O361" s="47">
        <f t="shared" ca="1" si="158"/>
        <v>27.087479859728937</v>
      </c>
      <c r="P361" s="47">
        <f t="shared" ca="1" si="159"/>
        <v>32.721444109453117</v>
      </c>
    </row>
    <row r="362" spans="1:16" ht="18.75" x14ac:dyDescent="0.25">
      <c r="A362" s="136"/>
      <c r="B362" s="41"/>
      <c r="C362" s="41"/>
      <c r="D362" s="42" t="s">
        <v>21</v>
      </c>
      <c r="E362" s="41"/>
      <c r="F362" s="41"/>
      <c r="G362" s="43"/>
      <c r="H362" s="147" t="s">
        <v>12</v>
      </c>
      <c r="I362" s="144"/>
      <c r="J362" s="144"/>
      <c r="K362" s="145"/>
      <c r="L362" s="47">
        <f t="shared" ref="L362:N362" ca="1" si="163">L363+L364</f>
        <v>0</v>
      </c>
      <c r="M362" s="47">
        <f t="shared" ca="1" si="163"/>
        <v>0</v>
      </c>
      <c r="N362" s="47">
        <f t="shared" ca="1" si="163"/>
        <v>0</v>
      </c>
      <c r="O362" s="47">
        <f t="shared" ca="1" si="158"/>
        <v>0</v>
      </c>
      <c r="P362" s="47">
        <f t="shared" ca="1" si="159"/>
        <v>0</v>
      </c>
    </row>
    <row r="363" spans="1:16" ht="18.75" hidden="1" x14ac:dyDescent="0.25">
      <c r="A363" s="136"/>
      <c r="B363" s="41"/>
      <c r="C363" s="41"/>
      <c r="D363" s="41"/>
      <c r="E363" s="48" t="s">
        <v>18</v>
      </c>
      <c r="F363" s="41"/>
      <c r="G363" s="43"/>
      <c r="H363" s="146" t="s">
        <v>12</v>
      </c>
      <c r="I363" s="144"/>
      <c r="J363" s="144"/>
      <c r="K363" s="145"/>
      <c r="L363" s="50">
        <v>0</v>
      </c>
      <c r="M363" s="50">
        <v>0</v>
      </c>
      <c r="N363" s="50">
        <v>0</v>
      </c>
      <c r="O363" s="50">
        <f t="shared" si="158"/>
        <v>0</v>
      </c>
      <c r="P363" s="50">
        <f t="shared" si="159"/>
        <v>0</v>
      </c>
    </row>
    <row r="364" spans="1:16" ht="18.75" x14ac:dyDescent="0.25">
      <c r="A364" s="136"/>
      <c r="B364" s="41"/>
      <c r="C364" s="41"/>
      <c r="D364" s="41"/>
      <c r="E364" s="51" t="s">
        <v>19</v>
      </c>
      <c r="F364" s="41"/>
      <c r="G364" s="43"/>
      <c r="H364" s="147" t="s">
        <v>12</v>
      </c>
      <c r="I364" s="144"/>
      <c r="J364" s="144"/>
      <c r="K364" s="145"/>
      <c r="L364" s="47">
        <f ca="1">IFERROR(__xludf.DUMMYFUNCTION("IMPORTRANGE(""https://docs.google.com/spreadsheets/d/1-uDff_7J0KD5mKrp0Vvzr7lt3OU09vwQwhkpOPPYv2Y/edit?usp=sharing"",""งบพรบ!FF14"")"),0)</f>
        <v>0</v>
      </c>
      <c r="M364" s="47">
        <f ca="1">IFERROR(__xludf.DUMMYFUNCTION("IMPORTRANGE(""https://docs.google.com/spreadsheets/d/1-uDff_7J0KD5mKrp0Vvzr7lt3OU09vwQwhkpOPPYv2Y/edit?usp=sharing"",""งบพรบ!FI14"")"),0)</f>
        <v>0</v>
      </c>
      <c r="N364" s="47">
        <f ca="1">IFERROR(__xludf.DUMMYFUNCTION("IMPORTRANGE(""https://docs.google.com/spreadsheets/d/1-uDff_7J0KD5mKrp0Vvzr7lt3OU09vwQwhkpOPPYv2Y/edit?usp=sharing"",""งบพรบ!FK14"")"),0)</f>
        <v>0</v>
      </c>
      <c r="O364" s="47">
        <f t="shared" ca="1" si="158"/>
        <v>0</v>
      </c>
      <c r="P364" s="47">
        <f t="shared" ca="1" si="159"/>
        <v>0</v>
      </c>
    </row>
    <row r="365" spans="1:16" ht="19.5" x14ac:dyDescent="0.3">
      <c r="A365" s="233"/>
      <c r="B365" s="234"/>
      <c r="C365" s="236"/>
      <c r="D365" s="349" t="s">
        <v>143</v>
      </c>
      <c r="E365" s="236"/>
      <c r="F365" s="236"/>
      <c r="G365" s="237"/>
      <c r="H365" s="245" t="s">
        <v>33</v>
      </c>
      <c r="I365" s="239">
        <f t="shared" ref="I365:J365" ca="1" si="164">I371</f>
        <v>235</v>
      </c>
      <c r="J365" s="239">
        <f t="shared" ca="1" si="164"/>
        <v>144</v>
      </c>
      <c r="K365" s="240">
        <f ca="1">IF(I365&gt;0,J365*100/I365,0)</f>
        <v>61.276595744680854</v>
      </c>
      <c r="L365" s="241"/>
      <c r="M365" s="241"/>
      <c r="N365" s="241"/>
      <c r="O365" s="241"/>
      <c r="P365" s="241"/>
    </row>
    <row r="366" spans="1:16" ht="19.5" x14ac:dyDescent="0.3">
      <c r="A366" s="148"/>
      <c r="B366" s="149"/>
      <c r="C366" s="137" t="s">
        <v>16</v>
      </c>
      <c r="D366" s="150" t="s">
        <v>36</v>
      </c>
      <c r="E366" s="151"/>
      <c r="F366" s="151"/>
      <c r="G366" s="152"/>
      <c r="H366" s="153"/>
      <c r="I366" s="45"/>
      <c r="J366" s="45"/>
      <c r="K366" s="46"/>
      <c r="L366" s="145"/>
      <c r="M366" s="145"/>
      <c r="N366" s="145"/>
      <c r="O366" s="145"/>
      <c r="P366" s="145"/>
    </row>
    <row r="367" spans="1:16" ht="18.75" x14ac:dyDescent="0.25">
      <c r="A367" s="148"/>
      <c r="B367" s="155"/>
      <c r="C367" s="149"/>
      <c r="D367" s="155"/>
      <c r="E367" s="154" t="s">
        <v>144</v>
      </c>
      <c r="F367" s="155"/>
      <c r="G367" s="153"/>
      <c r="H367" s="164" t="s">
        <v>33</v>
      </c>
      <c r="I367" s="169">
        <v>0</v>
      </c>
      <c r="J367" s="169">
        <f ca="1">IFERROR(__xludf.DUMMYFUNCTION("IMPORTRANGE(""https://docs.google.com/spreadsheets/d/1tdoBKaGub7dwA3U6UFTqxio9LNnvDCQjHKmttSEBsFQ/edit?usp=sharing"",""จัดที่ดิน!AB14"")"),0)</f>
        <v>0</v>
      </c>
      <c r="K367" s="47">
        <f t="shared" ref="K367:K372" si="165">IF(I367&gt;0,J367*100/I367,0)</f>
        <v>0</v>
      </c>
      <c r="L367" s="145"/>
      <c r="M367" s="145"/>
      <c r="N367" s="145"/>
      <c r="O367" s="145"/>
      <c r="P367" s="145"/>
    </row>
    <row r="368" spans="1:16" ht="18.75" x14ac:dyDescent="0.25">
      <c r="A368" s="148"/>
      <c r="B368" s="155"/>
      <c r="C368" s="149"/>
      <c r="D368" s="155"/>
      <c r="E368" s="155"/>
      <c r="F368" s="155"/>
      <c r="G368" s="153"/>
      <c r="H368" s="164" t="s">
        <v>44</v>
      </c>
      <c r="I368" s="169">
        <f ca="1">IFERROR(__xludf.DUMMYFUNCTION("IMPORTRANGE(""https://docs.google.com/spreadsheets/d/1eHaY18a8A9IcSdp1K8H6x8fbOy06t2VsZHhMHf-1x7Y/edit?usp=sharing"",""แผน!EW14"")"),2130)</f>
        <v>2130</v>
      </c>
      <c r="J368" s="351">
        <f ca="1">IFERROR(__xludf.DUMMYFUNCTION("IMPORTRANGE(""https://docs.google.com/spreadsheets/d/1tdoBKaGub7dwA3U6UFTqxio9LNnvDCQjHKmttSEBsFQ/edit?usp=sharing"",""จัดที่ดิน!AC14"")"),0)</f>
        <v>0</v>
      </c>
      <c r="K368" s="47">
        <f t="shared" ca="1" si="165"/>
        <v>0</v>
      </c>
      <c r="L368" s="145"/>
      <c r="M368" s="145"/>
      <c r="N368" s="145"/>
      <c r="O368" s="145"/>
      <c r="P368" s="145"/>
    </row>
    <row r="369" spans="1:16" ht="18.75" x14ac:dyDescent="0.25">
      <c r="A369" s="148"/>
      <c r="B369" s="155"/>
      <c r="C369" s="149"/>
      <c r="D369" s="155"/>
      <c r="E369" s="154" t="s">
        <v>145</v>
      </c>
      <c r="F369" s="155"/>
      <c r="G369" s="153"/>
      <c r="H369" s="160" t="s">
        <v>33</v>
      </c>
      <c r="I369" s="169">
        <f ca="1">IFERROR(__xludf.DUMMYFUNCTION("IMPORTRANGE(""https://docs.google.com/spreadsheets/d/1eHaY18a8A9IcSdp1K8H6x8fbOy06t2VsZHhMHf-1x7Y/edit?usp=sharing"",""แผน!EX14"")"),381)</f>
        <v>381</v>
      </c>
      <c r="J369" s="169">
        <f ca="1">IFERROR(__xludf.DUMMYFUNCTION("IMPORTRANGE(""https://docs.google.com/spreadsheets/d/1tdoBKaGub7dwA3U6UFTqxio9LNnvDCQjHKmttSEBsFQ/edit?usp=sharing"",""จัดที่ดิน!AD14"")"),184)</f>
        <v>184</v>
      </c>
      <c r="K369" s="47">
        <f t="shared" ca="1" si="165"/>
        <v>48.293963254593173</v>
      </c>
      <c r="L369" s="145"/>
      <c r="M369" s="145"/>
      <c r="N369" s="145"/>
      <c r="O369" s="145"/>
      <c r="P369" s="145"/>
    </row>
    <row r="370" spans="1:16" ht="18.75" x14ac:dyDescent="0.25">
      <c r="A370" s="148"/>
      <c r="B370" s="155"/>
      <c r="C370" s="149"/>
      <c r="D370" s="155"/>
      <c r="E370" s="155"/>
      <c r="F370" s="155"/>
      <c r="G370" s="153"/>
      <c r="H370" s="160" t="s">
        <v>44</v>
      </c>
      <c r="I370" s="169">
        <v>0</v>
      </c>
      <c r="J370" s="351">
        <f ca="1">IFERROR(__xludf.DUMMYFUNCTION("IMPORTRANGE(""https://docs.google.com/spreadsheets/d/1tdoBKaGub7dwA3U6UFTqxio9LNnvDCQjHKmttSEBsFQ/edit?usp=sharing"",""จัดที่ดิน!AE14"")"),3016.3)</f>
        <v>3016.3</v>
      </c>
      <c r="K370" s="47">
        <f t="shared" si="165"/>
        <v>0</v>
      </c>
      <c r="L370" s="145"/>
      <c r="M370" s="145"/>
      <c r="N370" s="145"/>
      <c r="O370" s="145"/>
      <c r="P370" s="145"/>
    </row>
    <row r="371" spans="1:16" ht="18.75" x14ac:dyDescent="0.25">
      <c r="A371" s="148"/>
      <c r="B371" s="155"/>
      <c r="C371" s="149"/>
      <c r="D371" s="155"/>
      <c r="E371" s="154" t="s">
        <v>146</v>
      </c>
      <c r="F371" s="155"/>
      <c r="G371" s="153"/>
      <c r="H371" s="160" t="s">
        <v>33</v>
      </c>
      <c r="I371" s="169">
        <f ca="1">IFERROR(__xludf.DUMMYFUNCTION("IMPORTRANGE(""https://docs.google.com/spreadsheets/d/1eHaY18a8A9IcSdp1K8H6x8fbOy06t2VsZHhMHf-1x7Y/edit?usp=sharing"",""แผน!EY14"")"),235)</f>
        <v>235</v>
      </c>
      <c r="J371" s="169">
        <f ca="1">IFERROR(__xludf.DUMMYFUNCTION("IMPORTRANGE(""https://docs.google.com/spreadsheets/d/1tdoBKaGub7dwA3U6UFTqxio9LNnvDCQjHKmttSEBsFQ/edit?usp=sharing"",""จัดที่ดิน!AF14"")"),144)</f>
        <v>144</v>
      </c>
      <c r="K371" s="47">
        <f t="shared" ca="1" si="165"/>
        <v>61.276595744680854</v>
      </c>
      <c r="L371" s="145"/>
      <c r="M371" s="145"/>
      <c r="N371" s="145"/>
      <c r="O371" s="145"/>
      <c r="P371" s="145"/>
    </row>
    <row r="372" spans="1:16" ht="18.75" x14ac:dyDescent="0.25">
      <c r="A372" s="148"/>
      <c r="B372" s="155"/>
      <c r="C372" s="149"/>
      <c r="D372" s="155"/>
      <c r="E372" s="155"/>
      <c r="F372" s="155"/>
      <c r="G372" s="153"/>
      <c r="H372" s="160" t="s">
        <v>44</v>
      </c>
      <c r="I372" s="169">
        <v>0</v>
      </c>
      <c r="J372" s="351">
        <f ca="1">IFERROR(__xludf.DUMMYFUNCTION("IMPORTRANGE(""https://docs.google.com/spreadsheets/d/1tdoBKaGub7dwA3U6UFTqxio9LNnvDCQjHKmttSEBsFQ/edit?usp=sharing"",""จัดที่ดิน!AG14"")"),2485.71)</f>
        <v>2485.71</v>
      </c>
      <c r="K372" s="47">
        <f t="shared" si="165"/>
        <v>0</v>
      </c>
      <c r="L372" s="145"/>
      <c r="M372" s="145"/>
      <c r="N372" s="145"/>
      <c r="O372" s="145"/>
      <c r="P372" s="145"/>
    </row>
    <row r="373" spans="1:16" ht="16.5" x14ac:dyDescent="0.25">
      <c r="A373" s="2"/>
      <c r="B373" s="1"/>
      <c r="C373" s="2"/>
      <c r="D373" s="352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4"/>
      <c r="H373" s="54"/>
      <c r="I373" s="56"/>
      <c r="J373" s="56"/>
      <c r="K373" s="57"/>
      <c r="L373" s="57"/>
      <c r="M373" s="57"/>
      <c r="N373" s="57"/>
      <c r="O373" s="57"/>
      <c r="P373" s="57"/>
    </row>
    <row r="374" spans="1:16" ht="19.5" hidden="1" x14ac:dyDescent="0.3">
      <c r="A374" s="353" t="s">
        <v>147</v>
      </c>
      <c r="B374" s="354"/>
      <c r="C374" s="354"/>
      <c r="D374" s="354"/>
      <c r="E374" s="355"/>
      <c r="F374" s="355"/>
      <c r="G374" s="355"/>
      <c r="H374" s="355"/>
      <c r="I374" s="356"/>
      <c r="J374" s="356"/>
      <c r="K374" s="357"/>
      <c r="L374" s="357"/>
      <c r="M374" s="357"/>
      <c r="N374" s="357"/>
      <c r="O374" s="357"/>
      <c r="P374" s="358"/>
    </row>
    <row r="375" spans="1:16" ht="19.5" hidden="1" x14ac:dyDescent="0.3">
      <c r="A375" s="359" t="s">
        <v>148</v>
      </c>
      <c r="B375" s="360"/>
      <c r="C375" s="360"/>
      <c r="D375" s="361"/>
      <c r="E375" s="360"/>
      <c r="F375" s="360"/>
      <c r="G375" s="360"/>
      <c r="H375" s="362"/>
      <c r="I375" s="363"/>
      <c r="J375" s="363"/>
      <c r="K375" s="364"/>
      <c r="L375" s="364"/>
      <c r="M375" s="364"/>
      <c r="N375" s="364"/>
      <c r="O375" s="364"/>
      <c r="P375" s="364"/>
    </row>
    <row r="376" spans="1:16" ht="19.5" hidden="1" x14ac:dyDescent="0.3">
      <c r="A376" s="365"/>
      <c r="B376" s="366" t="s">
        <v>149</v>
      </c>
      <c r="C376" s="367"/>
      <c r="D376" s="368"/>
      <c r="E376" s="368"/>
      <c r="F376" s="368"/>
      <c r="G376" s="369"/>
      <c r="H376" s="370" t="s">
        <v>54</v>
      </c>
      <c r="I376" s="371">
        <f t="shared" ref="I376:J376" si="166">I388</f>
        <v>0</v>
      </c>
      <c r="J376" s="371">
        <f t="shared" si="166"/>
        <v>0</v>
      </c>
      <c r="K376" s="372">
        <f>IF(I376&gt;0,J376*100/I376,0)</f>
        <v>0</v>
      </c>
      <c r="L376" s="373"/>
      <c r="M376" s="373"/>
      <c r="N376" s="373"/>
      <c r="O376" s="373"/>
      <c r="P376" s="373"/>
    </row>
    <row r="377" spans="1:16" ht="19.5" hidden="1" x14ac:dyDescent="0.3">
      <c r="A377" s="136"/>
      <c r="B377" s="41"/>
      <c r="C377" s="260" t="s">
        <v>16</v>
      </c>
      <c r="D377" s="261" t="s">
        <v>17</v>
      </c>
      <c r="E377" s="41"/>
      <c r="F377" s="41"/>
      <c r="G377" s="43"/>
      <c r="H377" s="277" t="s">
        <v>12</v>
      </c>
      <c r="I377" s="45"/>
      <c r="J377" s="45"/>
      <c r="K377" s="46"/>
      <c r="L377" s="263">
        <f t="shared" ref="L377:N377" ca="1" si="167">L378+L379</f>
        <v>0</v>
      </c>
      <c r="M377" s="263">
        <f t="shared" ca="1" si="167"/>
        <v>0</v>
      </c>
      <c r="N377" s="263">
        <f t="shared" ca="1" si="167"/>
        <v>0</v>
      </c>
      <c r="O377" s="263">
        <f t="shared" ref="O377:O385" ca="1" si="168">IF(L377&gt;0,N377*100/L377,0)</f>
        <v>0</v>
      </c>
      <c r="P377" s="263">
        <f t="shared" ref="P377:P385" ca="1" si="169">IF(M377&gt;0,N377*100/M377,0)</f>
        <v>0</v>
      </c>
    </row>
    <row r="378" spans="1:16" ht="18.75" hidden="1" x14ac:dyDescent="0.25">
      <c r="A378" s="136"/>
      <c r="B378" s="41"/>
      <c r="C378" s="41"/>
      <c r="D378" s="41"/>
      <c r="E378" s="48" t="s">
        <v>18</v>
      </c>
      <c r="F378" s="41"/>
      <c r="G378" s="43"/>
      <c r="H378" s="141" t="s">
        <v>12</v>
      </c>
      <c r="I378" s="45"/>
      <c r="J378" s="45"/>
      <c r="K378" s="46"/>
      <c r="L378" s="50">
        <f t="shared" ref="L378:N378" si="170">L381+L384</f>
        <v>0</v>
      </c>
      <c r="M378" s="50">
        <f t="shared" si="170"/>
        <v>0</v>
      </c>
      <c r="N378" s="50">
        <f t="shared" si="170"/>
        <v>0</v>
      </c>
      <c r="O378" s="50">
        <f t="shared" si="168"/>
        <v>0</v>
      </c>
      <c r="P378" s="50">
        <f t="shared" si="169"/>
        <v>0</v>
      </c>
    </row>
    <row r="379" spans="1:16" ht="18.75" hidden="1" x14ac:dyDescent="0.25">
      <c r="A379" s="136"/>
      <c r="B379" s="41"/>
      <c r="C379" s="41"/>
      <c r="D379" s="41"/>
      <c r="E379" s="48" t="s">
        <v>19</v>
      </c>
      <c r="F379" s="41"/>
      <c r="G379" s="43"/>
      <c r="H379" s="141" t="s">
        <v>12</v>
      </c>
      <c r="I379" s="45"/>
      <c r="J379" s="45"/>
      <c r="K379" s="46"/>
      <c r="L379" s="50">
        <f t="shared" ref="L379:N379" ca="1" si="171">L382+L385</f>
        <v>0</v>
      </c>
      <c r="M379" s="50">
        <f t="shared" ca="1" si="171"/>
        <v>0</v>
      </c>
      <c r="N379" s="50">
        <f t="shared" ca="1" si="171"/>
        <v>0</v>
      </c>
      <c r="O379" s="50">
        <f t="shared" ca="1" si="168"/>
        <v>0</v>
      </c>
      <c r="P379" s="50">
        <f t="shared" ca="1" si="169"/>
        <v>0</v>
      </c>
    </row>
    <row r="380" spans="1:16" ht="18.75" hidden="1" x14ac:dyDescent="0.25">
      <c r="A380" s="136"/>
      <c r="B380" s="41"/>
      <c r="C380" s="41"/>
      <c r="D380" s="278" t="s">
        <v>20</v>
      </c>
      <c r="E380" s="41"/>
      <c r="F380" s="41"/>
      <c r="G380" s="43"/>
      <c r="H380" s="146" t="s">
        <v>12</v>
      </c>
      <c r="I380" s="144"/>
      <c r="J380" s="144"/>
      <c r="K380" s="145"/>
      <c r="L380" s="50">
        <f t="shared" ref="L380:N380" ca="1" si="172">L381+L382</f>
        <v>0</v>
      </c>
      <c r="M380" s="50">
        <f t="shared" ca="1" si="172"/>
        <v>0</v>
      </c>
      <c r="N380" s="50">
        <f t="shared" ca="1" si="172"/>
        <v>0</v>
      </c>
      <c r="O380" s="50">
        <f t="shared" ca="1" si="168"/>
        <v>0</v>
      </c>
      <c r="P380" s="50">
        <f t="shared" ca="1" si="169"/>
        <v>0</v>
      </c>
    </row>
    <row r="381" spans="1:16" ht="18.75" hidden="1" x14ac:dyDescent="0.25">
      <c r="A381" s="136"/>
      <c r="B381" s="41"/>
      <c r="C381" s="41"/>
      <c r="D381" s="41"/>
      <c r="E381" s="48" t="s">
        <v>34</v>
      </c>
      <c r="F381" s="41"/>
      <c r="G381" s="43"/>
      <c r="H381" s="146" t="s">
        <v>12</v>
      </c>
      <c r="I381" s="144"/>
      <c r="J381" s="144"/>
      <c r="K381" s="145"/>
      <c r="L381" s="50">
        <v>0</v>
      </c>
      <c r="M381" s="50">
        <v>0</v>
      </c>
      <c r="N381" s="50">
        <v>0</v>
      </c>
      <c r="O381" s="50">
        <f t="shared" si="168"/>
        <v>0</v>
      </c>
      <c r="P381" s="50">
        <f t="shared" si="169"/>
        <v>0</v>
      </c>
    </row>
    <row r="382" spans="1:16" ht="18.75" hidden="1" x14ac:dyDescent="0.25">
      <c r="A382" s="136"/>
      <c r="B382" s="41"/>
      <c r="C382" s="41"/>
      <c r="D382" s="41"/>
      <c r="E382" s="48" t="s">
        <v>35</v>
      </c>
      <c r="F382" s="41"/>
      <c r="G382" s="43"/>
      <c r="H382" s="146" t="s">
        <v>12</v>
      </c>
      <c r="I382" s="144"/>
      <c r="J382" s="144"/>
      <c r="K382" s="145"/>
      <c r="L382" s="50">
        <f ca="1">IFERROR(__xludf.DUMMYFUNCTION("IMPORTRANGE(""https://docs.google.com/spreadsheets/d/1-uDff_7J0KD5mKrp0Vvzr7lt3OU09vwQwhkpOPPYv2Y/edit?usp=sharing"",""งบพรบ!FM14"")"),0)</f>
        <v>0</v>
      </c>
      <c r="M382" s="50">
        <f ca="1">IFERROR(__xludf.DUMMYFUNCTION("IMPORTRANGE(""https://docs.google.com/spreadsheets/d/1-uDff_7J0KD5mKrp0Vvzr7lt3OU09vwQwhkpOPPYv2Y/edit?usp=sharing"",""งบพรบ!FR14"")"),0)</f>
        <v>0</v>
      </c>
      <c r="N382" s="50">
        <f ca="1">IFERROR(__xludf.DUMMYFUNCTION("IMPORTRANGE(""https://docs.google.com/spreadsheets/d/1-uDff_7J0KD5mKrp0Vvzr7lt3OU09vwQwhkpOPPYv2Y/edit?usp=sharing"",""งบพรบ!FT14"")"),0)</f>
        <v>0</v>
      </c>
      <c r="O382" s="50">
        <f t="shared" ca="1" si="168"/>
        <v>0</v>
      </c>
      <c r="P382" s="50">
        <f t="shared" ca="1" si="169"/>
        <v>0</v>
      </c>
    </row>
    <row r="383" spans="1:16" ht="18.75" hidden="1" x14ac:dyDescent="0.25">
      <c r="A383" s="136"/>
      <c r="B383" s="41"/>
      <c r="C383" s="41"/>
      <c r="D383" s="278" t="s">
        <v>21</v>
      </c>
      <c r="E383" s="41"/>
      <c r="F383" s="41"/>
      <c r="G383" s="43"/>
      <c r="H383" s="199" t="s">
        <v>12</v>
      </c>
      <c r="I383" s="144"/>
      <c r="J383" s="144"/>
      <c r="K383" s="145"/>
      <c r="L383" s="50">
        <f t="shared" ref="L383:N383" ca="1" si="173">L384+L385</f>
        <v>0</v>
      </c>
      <c r="M383" s="50">
        <f t="shared" ca="1" si="173"/>
        <v>0</v>
      </c>
      <c r="N383" s="50">
        <f t="shared" ca="1" si="173"/>
        <v>0</v>
      </c>
      <c r="O383" s="50">
        <f t="shared" ca="1" si="168"/>
        <v>0</v>
      </c>
      <c r="P383" s="50">
        <f t="shared" ca="1" si="169"/>
        <v>0</v>
      </c>
    </row>
    <row r="384" spans="1:16" ht="18.75" hidden="1" x14ac:dyDescent="0.25">
      <c r="A384" s="136"/>
      <c r="B384" s="41"/>
      <c r="C384" s="41"/>
      <c r="D384" s="41"/>
      <c r="E384" s="48" t="s">
        <v>18</v>
      </c>
      <c r="F384" s="41"/>
      <c r="G384" s="43"/>
      <c r="H384" s="146" t="s">
        <v>12</v>
      </c>
      <c r="I384" s="144"/>
      <c r="J384" s="144"/>
      <c r="K384" s="145"/>
      <c r="L384" s="50">
        <v>0</v>
      </c>
      <c r="M384" s="50">
        <v>0</v>
      </c>
      <c r="N384" s="50">
        <v>0</v>
      </c>
      <c r="O384" s="50">
        <f t="shared" si="168"/>
        <v>0</v>
      </c>
      <c r="P384" s="50">
        <f t="shared" si="169"/>
        <v>0</v>
      </c>
    </row>
    <row r="385" spans="1:16" ht="18.75" hidden="1" x14ac:dyDescent="0.25">
      <c r="A385" s="136"/>
      <c r="B385" s="41"/>
      <c r="C385" s="41"/>
      <c r="D385" s="41"/>
      <c r="E385" s="48" t="s">
        <v>19</v>
      </c>
      <c r="F385" s="41"/>
      <c r="G385" s="43"/>
      <c r="H385" s="199" t="s">
        <v>12</v>
      </c>
      <c r="I385" s="144"/>
      <c r="J385" s="144"/>
      <c r="K385" s="145"/>
      <c r="L385" s="50">
        <f ca="1">IFERROR(__xludf.DUMMYFUNCTION("IMPORTRANGE(""https://docs.google.com/spreadsheets/d/1-uDff_7J0KD5mKrp0Vvzr7lt3OU09vwQwhkpOPPYv2Y/edit?usp=sharing"",""งบพรบ!FP14"")"),0)</f>
        <v>0</v>
      </c>
      <c r="M385" s="50">
        <f ca="1">IFERROR(__xludf.DUMMYFUNCTION("IMPORTRANGE(""https://docs.google.com/spreadsheets/d/1-uDff_7J0KD5mKrp0Vvzr7lt3OU09vwQwhkpOPPYv2Y/edit?usp=sharing"",""งบพรบ!FS14"")"),0)</f>
        <v>0</v>
      </c>
      <c r="N385" s="50">
        <f ca="1">IFERROR(__xludf.DUMMYFUNCTION("IMPORTRANGE(""https://docs.google.com/spreadsheets/d/1-uDff_7J0KD5mKrp0Vvzr7lt3OU09vwQwhkpOPPYv2Y/edit?usp=sharing"",""งบพรบ!FU14"")"),0)</f>
        <v>0</v>
      </c>
      <c r="O385" s="50">
        <f t="shared" ca="1" si="168"/>
        <v>0</v>
      </c>
      <c r="P385" s="50">
        <f t="shared" ca="1" si="169"/>
        <v>0</v>
      </c>
    </row>
    <row r="386" spans="1:16" ht="19.5" hidden="1" x14ac:dyDescent="0.3">
      <c r="A386" s="148"/>
      <c r="B386" s="149"/>
      <c r="C386" s="260" t="s">
        <v>16</v>
      </c>
      <c r="D386" s="266" t="s">
        <v>36</v>
      </c>
      <c r="E386" s="151"/>
      <c r="F386" s="151"/>
      <c r="G386" s="152"/>
      <c r="H386" s="153"/>
      <c r="I386" s="144"/>
      <c r="J386" s="45"/>
      <c r="K386" s="46"/>
      <c r="L386" s="46"/>
      <c r="M386" s="46"/>
      <c r="N386" s="46"/>
      <c r="O386" s="145"/>
      <c r="P386" s="145"/>
    </row>
    <row r="387" spans="1:16" ht="18.75" hidden="1" x14ac:dyDescent="0.25">
      <c r="A387" s="227"/>
      <c r="B387" s="41"/>
      <c r="C387" s="228"/>
      <c r="D387" s="267" t="s">
        <v>150</v>
      </c>
      <c r="E387" s="149"/>
      <c r="F387" s="41"/>
      <c r="G387" s="43"/>
      <c r="H387" s="232" t="s">
        <v>9</v>
      </c>
      <c r="I387" s="200">
        <v>0</v>
      </c>
      <c r="J387" s="201">
        <v>0</v>
      </c>
      <c r="K387" s="50">
        <f t="shared" ref="K387:K388" si="174">IF(I387&gt;0,J387*100/I387,0)</f>
        <v>0</v>
      </c>
      <c r="L387" s="46"/>
      <c r="M387" s="46"/>
      <c r="N387" s="46"/>
      <c r="O387" s="46"/>
      <c r="P387" s="46"/>
    </row>
    <row r="388" spans="1:16" ht="18.75" hidden="1" x14ac:dyDescent="0.25">
      <c r="A388" s="374"/>
      <c r="B388" s="1"/>
      <c r="C388" s="2"/>
      <c r="D388" s="375" t="s">
        <v>151</v>
      </c>
      <c r="E388" s="281"/>
      <c r="F388" s="1"/>
      <c r="G388" s="54"/>
      <c r="H388" s="376" t="s">
        <v>54</v>
      </c>
      <c r="I388" s="205">
        <v>0</v>
      </c>
      <c r="J388" s="206">
        <v>0</v>
      </c>
      <c r="K388" s="207">
        <f t="shared" si="174"/>
        <v>0</v>
      </c>
      <c r="L388" s="57"/>
      <c r="M388" s="57"/>
      <c r="N388" s="57"/>
      <c r="O388" s="57"/>
      <c r="P388" s="57"/>
    </row>
    <row r="389" spans="1:16" ht="12.75" x14ac:dyDescent="0.2">
      <c r="A389" s="168"/>
      <c r="B389" s="168"/>
      <c r="C389" s="168"/>
      <c r="D389" s="168"/>
      <c r="E389" s="168"/>
      <c r="F389" s="168"/>
      <c r="G389" s="168"/>
      <c r="H389" s="168"/>
      <c r="I389" s="168"/>
      <c r="J389" s="168"/>
      <c r="K389" s="168"/>
      <c r="L389" s="168"/>
      <c r="M389" s="168"/>
      <c r="N389" s="168"/>
      <c r="O389" s="168"/>
      <c r="P389" s="168"/>
    </row>
    <row r="390" spans="1:16" ht="16.5" x14ac:dyDescent="0.25">
      <c r="A390" s="377" t="s">
        <v>152</v>
      </c>
      <c r="B390" s="168"/>
      <c r="C390" s="168"/>
      <c r="D390" s="168"/>
      <c r="E390" s="168"/>
      <c r="F390" s="168"/>
      <c r="G390" s="168"/>
      <c r="H390" s="168"/>
      <c r="I390" s="168"/>
      <c r="J390" s="168"/>
      <c r="K390" s="168"/>
      <c r="L390" s="168"/>
      <c r="M390" s="168"/>
      <c r="N390" s="168"/>
      <c r="O390" s="168"/>
      <c r="P390" s="168"/>
    </row>
    <row r="391" spans="1:16" ht="16.5" x14ac:dyDescent="0.25">
      <c r="A391" s="377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8"/>
      <c r="C391" s="168"/>
      <c r="D391" s="168"/>
      <c r="E391" s="168"/>
      <c r="F391" s="168"/>
      <c r="G391" s="168"/>
      <c r="H391" s="168"/>
      <c r="I391" s="168"/>
      <c r="J391" s="168"/>
      <c r="K391" s="168"/>
      <c r="L391" s="168"/>
      <c r="M391" s="168"/>
      <c r="N391" s="168"/>
      <c r="O391" s="168"/>
      <c r="P391" s="168"/>
    </row>
  </sheetData>
  <mergeCells count="12">
    <mergeCell ref="I5:K5"/>
    <mergeCell ref="L5:M5"/>
    <mergeCell ref="N5:P5"/>
    <mergeCell ref="A7:G7"/>
    <mergeCell ref="A1:P1"/>
    <mergeCell ref="A2:P2"/>
    <mergeCell ref="A3:P3"/>
    <mergeCell ref="A17:G17"/>
    <mergeCell ref="A30:G30"/>
    <mergeCell ref="A56:G56"/>
    <mergeCell ref="B57:G57"/>
    <mergeCell ref="A5:G6"/>
  </mergeCells>
  <pageMargins left="0.23622047244094491" right="0.23622047244094491" top="0.55118110236220474" bottom="0.55118110236220474" header="0.31496062992125984" footer="0.31496062992125984"/>
  <pageSetup paperSize="9" scale="42" orientation="portrait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50AAC-2E1A-46EB-8E4C-1DCDA61D4CD0}">
  <sheetPr>
    <outlinePr summaryBelow="0" summaryRight="0"/>
  </sheetPr>
  <dimension ref="A1:P391"/>
  <sheetViews>
    <sheetView view="pageBreakPreview" zoomScale="60" zoomScaleNormal="68" workbookViewId="0">
      <pane xSplit="8" ySplit="17" topLeftCell="I343" activePane="bottomRight" state="frozen"/>
      <selection activeCell="P44" sqref="P44"/>
      <selection pane="topRight" activeCell="P44" sqref="P44"/>
      <selection pane="bottomLeft" activeCell="P44" sqref="P44"/>
      <selection pane="bottomRight" activeCell="N373" sqref="N373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3" width="21.5703125" bestFit="1" customWidth="1"/>
    <col min="14" max="14" width="19" bestFit="1" customWidth="1"/>
    <col min="15" max="15" width="17.5703125" customWidth="1"/>
    <col min="16" max="16" width="22.42578125" bestFit="1" customWidth="1"/>
  </cols>
  <sheetData>
    <row r="1" spans="1:16" ht="19.5" x14ac:dyDescent="0.3">
      <c r="A1" s="386" t="s">
        <v>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</row>
    <row r="2" spans="1:16" ht="19.5" x14ac:dyDescent="0.3">
      <c r="A2" s="386" t="s">
        <v>154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</row>
    <row r="3" spans="1:16" ht="19.5" x14ac:dyDescent="0.3">
      <c r="A3" s="386" t="s">
        <v>175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388" t="s">
        <v>2</v>
      </c>
      <c r="B5" s="387"/>
      <c r="C5" s="387"/>
      <c r="D5" s="387"/>
      <c r="E5" s="387"/>
      <c r="F5" s="387"/>
      <c r="G5" s="389"/>
      <c r="H5" s="4" t="s">
        <v>3</v>
      </c>
      <c r="I5" s="391" t="s">
        <v>4</v>
      </c>
      <c r="J5" s="379"/>
      <c r="K5" s="380"/>
      <c r="L5" s="392" t="s">
        <v>5</v>
      </c>
      <c r="M5" s="380"/>
      <c r="N5" s="393" t="s">
        <v>6</v>
      </c>
      <c r="O5" s="379"/>
      <c r="P5" s="380"/>
    </row>
    <row r="6" spans="1:16" ht="19.5" x14ac:dyDescent="0.3">
      <c r="A6" s="390"/>
      <c r="B6" s="379"/>
      <c r="C6" s="379"/>
      <c r="D6" s="379"/>
      <c r="E6" s="379"/>
      <c r="F6" s="379"/>
      <c r="G6" s="380"/>
      <c r="H6" s="5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466" t="s">
        <v>14</v>
      </c>
    </row>
    <row r="7" spans="1:16" ht="12.75" hidden="1" x14ac:dyDescent="0.2">
      <c r="A7" s="381"/>
      <c r="B7" s="379"/>
      <c r="C7" s="379"/>
      <c r="D7" s="379"/>
      <c r="E7" s="379"/>
      <c r="F7" s="379"/>
      <c r="G7" s="380"/>
      <c r="H7" s="12"/>
      <c r="I7" s="13"/>
      <c r="J7" s="13"/>
      <c r="K7" s="14"/>
      <c r="L7" s="14"/>
      <c r="M7" s="14"/>
      <c r="N7" s="14"/>
      <c r="O7" s="14"/>
      <c r="P7" s="14"/>
    </row>
    <row r="8" spans="1:16" ht="12.75" hidden="1" x14ac:dyDescent="0.2">
      <c r="A8" s="15"/>
      <c r="B8" s="16"/>
      <c r="C8" s="16"/>
      <c r="D8" s="16"/>
      <c r="E8" s="16"/>
      <c r="F8" s="16"/>
      <c r="G8" s="17"/>
      <c r="H8" s="17"/>
      <c r="I8" s="18"/>
      <c r="J8" s="18"/>
      <c r="K8" s="19"/>
      <c r="L8" s="19"/>
      <c r="M8" s="19"/>
      <c r="N8" s="19"/>
      <c r="O8" s="19"/>
      <c r="P8" s="19"/>
    </row>
    <row r="9" spans="1:16" ht="12.75" hidden="1" x14ac:dyDescent="0.2">
      <c r="A9" s="15"/>
      <c r="B9" s="16"/>
      <c r="C9" s="16"/>
      <c r="D9" s="16"/>
      <c r="E9" s="16"/>
      <c r="F9" s="16"/>
      <c r="G9" s="17"/>
      <c r="H9" s="17"/>
      <c r="I9" s="18"/>
      <c r="J9" s="18"/>
      <c r="K9" s="19"/>
      <c r="L9" s="19"/>
      <c r="M9" s="19"/>
      <c r="N9" s="19"/>
      <c r="O9" s="19"/>
      <c r="P9" s="19"/>
    </row>
    <row r="10" spans="1:16" ht="12.75" hidden="1" x14ac:dyDescent="0.2">
      <c r="A10" s="15"/>
      <c r="B10" s="16"/>
      <c r="C10" s="16"/>
      <c r="D10" s="16"/>
      <c r="E10" s="16"/>
      <c r="F10" s="16"/>
      <c r="G10" s="17"/>
      <c r="H10" s="17"/>
      <c r="I10" s="18"/>
      <c r="J10" s="18"/>
      <c r="K10" s="19"/>
      <c r="L10" s="19"/>
      <c r="M10" s="19"/>
      <c r="N10" s="19"/>
      <c r="O10" s="19"/>
      <c r="P10" s="19"/>
    </row>
    <row r="11" spans="1:16" ht="12.75" hidden="1" x14ac:dyDescent="0.2">
      <c r="A11" s="15"/>
      <c r="B11" s="16"/>
      <c r="C11" s="16"/>
      <c r="D11" s="16"/>
      <c r="E11" s="16"/>
      <c r="F11" s="16"/>
      <c r="G11" s="17"/>
      <c r="H11" s="17"/>
      <c r="I11" s="18"/>
      <c r="J11" s="18"/>
      <c r="K11" s="19"/>
      <c r="L11" s="19"/>
      <c r="M11" s="19"/>
      <c r="N11" s="19"/>
      <c r="O11" s="19"/>
      <c r="P11" s="19"/>
    </row>
    <row r="12" spans="1:16" ht="12.75" hidden="1" x14ac:dyDescent="0.2">
      <c r="A12" s="15"/>
      <c r="B12" s="16"/>
      <c r="C12" s="16"/>
      <c r="D12" s="16"/>
      <c r="E12" s="16"/>
      <c r="F12" s="16"/>
      <c r="G12" s="17"/>
      <c r="H12" s="17"/>
      <c r="I12" s="18"/>
      <c r="J12" s="18"/>
      <c r="K12" s="19"/>
      <c r="L12" s="19"/>
      <c r="M12" s="19"/>
      <c r="N12" s="19"/>
      <c r="O12" s="19"/>
      <c r="P12" s="19"/>
    </row>
    <row r="13" spans="1:16" ht="12.75" hidden="1" x14ac:dyDescent="0.2">
      <c r="A13" s="15"/>
      <c r="B13" s="16"/>
      <c r="C13" s="16"/>
      <c r="D13" s="16"/>
      <c r="E13" s="16"/>
      <c r="F13" s="16"/>
      <c r="G13" s="17"/>
      <c r="H13" s="17"/>
      <c r="I13" s="18"/>
      <c r="J13" s="18"/>
      <c r="K13" s="19"/>
      <c r="L13" s="19"/>
      <c r="M13" s="19"/>
      <c r="N13" s="19"/>
      <c r="O13" s="19"/>
      <c r="P13" s="19"/>
    </row>
    <row r="14" spans="1:16" ht="12.75" hidden="1" x14ac:dyDescent="0.2">
      <c r="A14" s="15"/>
      <c r="B14" s="16"/>
      <c r="C14" s="16"/>
      <c r="D14" s="16"/>
      <c r="E14" s="16"/>
      <c r="F14" s="16"/>
      <c r="G14" s="17"/>
      <c r="H14" s="17"/>
      <c r="I14" s="18"/>
      <c r="J14" s="18"/>
      <c r="K14" s="19"/>
      <c r="L14" s="19"/>
      <c r="M14" s="19"/>
      <c r="N14" s="19"/>
      <c r="O14" s="19"/>
      <c r="P14" s="19"/>
    </row>
    <row r="15" spans="1:16" ht="12.75" hidden="1" x14ac:dyDescent="0.2">
      <c r="A15" s="15"/>
      <c r="B15" s="16"/>
      <c r="C15" s="16"/>
      <c r="D15" s="16"/>
      <c r="E15" s="16"/>
      <c r="F15" s="16"/>
      <c r="G15" s="17"/>
      <c r="H15" s="17"/>
      <c r="I15" s="18"/>
      <c r="J15" s="18"/>
      <c r="K15" s="19"/>
      <c r="L15" s="19"/>
      <c r="M15" s="19"/>
      <c r="N15" s="19"/>
      <c r="O15" s="19"/>
      <c r="P15" s="19"/>
    </row>
    <row r="16" spans="1:16" ht="12.75" hidden="1" x14ac:dyDescent="0.2">
      <c r="A16" s="20"/>
      <c r="B16" s="21"/>
      <c r="C16" s="21"/>
      <c r="D16" s="21"/>
      <c r="E16" s="21"/>
      <c r="F16" s="21"/>
      <c r="G16" s="12"/>
      <c r="H16" s="12"/>
      <c r="I16" s="13"/>
      <c r="J16" s="13"/>
      <c r="K16" s="14"/>
      <c r="L16" s="14"/>
      <c r="M16" s="14"/>
      <c r="N16" s="14"/>
      <c r="O16" s="14"/>
      <c r="P16" s="14"/>
    </row>
    <row r="17" spans="1:16" ht="19.5" x14ac:dyDescent="0.3">
      <c r="A17" s="378" t="s">
        <v>15</v>
      </c>
      <c r="B17" s="379"/>
      <c r="C17" s="379"/>
      <c r="D17" s="379"/>
      <c r="E17" s="379"/>
      <c r="F17" s="379"/>
      <c r="G17" s="380"/>
      <c r="H17" s="22"/>
      <c r="I17" s="23"/>
      <c r="J17" s="23"/>
      <c r="K17" s="24"/>
      <c r="L17" s="24"/>
      <c r="M17" s="24"/>
      <c r="N17" s="24"/>
      <c r="O17" s="24"/>
      <c r="P17" s="24"/>
    </row>
    <row r="18" spans="1:16" ht="19.5" x14ac:dyDescent="0.3">
      <c r="A18" s="25"/>
      <c r="B18" s="26"/>
      <c r="C18" s="132" t="s">
        <v>16</v>
      </c>
      <c r="D18" s="28" t="s">
        <v>17</v>
      </c>
      <c r="E18" s="26"/>
      <c r="F18" s="26"/>
      <c r="G18" s="29"/>
      <c r="H18" s="30" t="s">
        <v>12</v>
      </c>
      <c r="I18" s="31"/>
      <c r="J18" s="31"/>
      <c r="K18" s="32"/>
      <c r="L18" s="33">
        <f ca="1">L19+L20</f>
        <v>3226754</v>
      </c>
      <c r="M18" s="33">
        <f ca="1">M19+M20</f>
        <v>2739414</v>
      </c>
      <c r="N18" s="33">
        <f ca="1">N19+N20</f>
        <v>566378.67000000004</v>
      </c>
      <c r="O18" s="33">
        <f ca="1">IF(L18&gt;0,N18*100/L18,0)</f>
        <v>17.552582874306502</v>
      </c>
      <c r="P18" s="33">
        <f ca="1">IF(M18&gt;0,N18*100/M18,0)</f>
        <v>20.675176150811819</v>
      </c>
    </row>
    <row r="19" spans="1:16" ht="18.75" hidden="1" x14ac:dyDescent="0.25">
      <c r="A19" s="25"/>
      <c r="B19" s="26"/>
      <c r="C19" s="26"/>
      <c r="D19" s="26"/>
      <c r="E19" s="34" t="s">
        <v>18</v>
      </c>
      <c r="F19" s="26"/>
      <c r="G19" s="29"/>
      <c r="H19" s="35" t="s">
        <v>12</v>
      </c>
      <c r="I19" s="31"/>
      <c r="J19" s="31"/>
      <c r="K19" s="32"/>
      <c r="L19" s="36">
        <f>L22+L25</f>
        <v>0</v>
      </c>
      <c r="M19" s="36">
        <f>M22+M25</f>
        <v>0</v>
      </c>
      <c r="N19" s="36">
        <f>N22+N25</f>
        <v>0</v>
      </c>
      <c r="O19" s="36">
        <f>IF(L19&gt;0,N19*100/L19,0)</f>
        <v>0</v>
      </c>
      <c r="P19" s="36">
        <f>IF(M19&gt;0,N19*100/M19,0)</f>
        <v>0</v>
      </c>
    </row>
    <row r="20" spans="1:16" ht="18.75" x14ac:dyDescent="0.25">
      <c r="A20" s="25"/>
      <c r="B20" s="26"/>
      <c r="C20" s="26"/>
      <c r="D20" s="26"/>
      <c r="E20" s="37" t="s">
        <v>19</v>
      </c>
      <c r="F20" s="26"/>
      <c r="G20" s="29"/>
      <c r="H20" s="38" t="s">
        <v>12</v>
      </c>
      <c r="I20" s="31"/>
      <c r="J20" s="31"/>
      <c r="K20" s="32"/>
      <c r="L20" s="39">
        <f ca="1">L23+L26</f>
        <v>3226754</v>
      </c>
      <c r="M20" s="39">
        <f ca="1">M23+M26</f>
        <v>2739414</v>
      </c>
      <c r="N20" s="39">
        <f ca="1">N23+N26</f>
        <v>566378.67000000004</v>
      </c>
      <c r="O20" s="39">
        <f ca="1">IF(L20&gt;0,N20*100/L20,0)</f>
        <v>17.552582874306502</v>
      </c>
      <c r="P20" s="39">
        <f ca="1">IF(M20&gt;0,N20*100/M20,0)</f>
        <v>20.675176150811819</v>
      </c>
    </row>
    <row r="21" spans="1:16" ht="18.75" x14ac:dyDescent="0.25">
      <c r="A21" s="40"/>
      <c r="B21" s="41"/>
      <c r="C21" s="41"/>
      <c r="D21" s="42" t="s">
        <v>20</v>
      </c>
      <c r="E21" s="41"/>
      <c r="F21" s="41"/>
      <c r="G21" s="43"/>
      <c r="H21" s="44" t="s">
        <v>12</v>
      </c>
      <c r="I21" s="45"/>
      <c r="J21" s="45"/>
      <c r="K21" s="46"/>
      <c r="L21" s="47">
        <f ca="1">L22+L23</f>
        <v>3226754</v>
      </c>
      <c r="M21" s="47">
        <f ca="1">M22+M23</f>
        <v>2739414</v>
      </c>
      <c r="N21" s="47">
        <f ca="1">N22+N23</f>
        <v>566378.67000000004</v>
      </c>
      <c r="O21" s="47">
        <f ca="1">IF(L21&gt;0,N21*100/L21,0)</f>
        <v>17.552582874306502</v>
      </c>
      <c r="P21" s="47">
        <f ca="1">IF(M21&gt;0,N21*100/M21,0)</f>
        <v>20.675176150811819</v>
      </c>
    </row>
    <row r="22" spans="1:16" ht="18.75" hidden="1" x14ac:dyDescent="0.25">
      <c r="A22" s="40"/>
      <c r="B22" s="41"/>
      <c r="C22" s="41"/>
      <c r="D22" s="41"/>
      <c r="E22" s="279" t="s">
        <v>18</v>
      </c>
      <c r="F22" s="41"/>
      <c r="G22" s="43"/>
      <c r="H22" s="49" t="s">
        <v>12</v>
      </c>
      <c r="I22" s="45"/>
      <c r="J22" s="45"/>
      <c r="K22" s="46"/>
      <c r="L22" s="50">
        <f>L48+L63+L76+L98+L129+L143+L161+L190+L177+L270+L286+L307+L324+L337+L360+L381</f>
        <v>0</v>
      </c>
      <c r="M22" s="50">
        <f>M48+M63+M76+M98+M129+M143+M161+M190+M177+M270+M286+M307+M324+M337+M360+M381</f>
        <v>0</v>
      </c>
      <c r="N22" s="50">
        <f>N48+N63+N76+N98+N129+N143+N161+N190+N177+N270+N286+N307+N324+N337+N360+N381</f>
        <v>0</v>
      </c>
      <c r="O22" s="50">
        <f>IF(L22&gt;0,N22*100/L22,0)</f>
        <v>0</v>
      </c>
      <c r="P22" s="50">
        <f>IF(M22&gt;0,N22*100/M22,0)</f>
        <v>0</v>
      </c>
    </row>
    <row r="23" spans="1:16" ht="18.75" x14ac:dyDescent="0.25">
      <c r="A23" s="40"/>
      <c r="B23" s="41"/>
      <c r="C23" s="41"/>
      <c r="D23" s="41"/>
      <c r="E23" s="254" t="s">
        <v>19</v>
      </c>
      <c r="F23" s="41"/>
      <c r="G23" s="43"/>
      <c r="H23" s="44" t="s">
        <v>12</v>
      </c>
      <c r="I23" s="45"/>
      <c r="J23" s="45"/>
      <c r="K23" s="46"/>
      <c r="L23" s="47">
        <f ca="1">L49+L64+L77+L99+L130+L144+L162+L191+L178+L271+L287+L308+L325+L338+L361+L382</f>
        <v>3226754</v>
      </c>
      <c r="M23" s="47">
        <f ca="1">M49+M64+M77+M99+M130+M144+M162+M191+M178+M271+M287+M308+M325+M338+M361+M382</f>
        <v>2739414</v>
      </c>
      <c r="N23" s="47">
        <f ca="1">N49+N64+N77+N99+N130+N144+N162+N191+N178+N271+N287+N308+N325+N338+N361+N382</f>
        <v>566378.67000000004</v>
      </c>
      <c r="O23" s="47">
        <f ca="1">IF(L23&gt;0,N23*100/L23,0)</f>
        <v>17.552582874306502</v>
      </c>
      <c r="P23" s="47">
        <f ca="1">IF(M23&gt;0,N23*100/M23,0)</f>
        <v>20.675176150811819</v>
      </c>
    </row>
    <row r="24" spans="1:16" ht="18.75" x14ac:dyDescent="0.25">
      <c r="A24" s="40"/>
      <c r="B24" s="41"/>
      <c r="C24" s="41"/>
      <c r="D24" s="42" t="s">
        <v>21</v>
      </c>
      <c r="E24" s="41"/>
      <c r="F24" s="41"/>
      <c r="G24" s="43"/>
      <c r="H24" s="44" t="s">
        <v>12</v>
      </c>
      <c r="I24" s="45"/>
      <c r="J24" s="45"/>
      <c r="K24" s="46"/>
      <c r="L24" s="47">
        <f ca="1">L25+L26</f>
        <v>0</v>
      </c>
      <c r="M24" s="47">
        <f ca="1">M25+M26</f>
        <v>0</v>
      </c>
      <c r="N24" s="47">
        <f ca="1">N25+N26</f>
        <v>0</v>
      </c>
      <c r="O24" s="47">
        <f ca="1">IF(L24&gt;0,N24*100/L24,0)</f>
        <v>0</v>
      </c>
      <c r="P24" s="47">
        <f ca="1">IF(M24&gt;0,N24*100/M24,0)</f>
        <v>0</v>
      </c>
    </row>
    <row r="25" spans="1:16" ht="18.75" hidden="1" x14ac:dyDescent="0.25">
      <c r="A25" s="40"/>
      <c r="B25" s="41"/>
      <c r="C25" s="41"/>
      <c r="D25" s="41"/>
      <c r="E25" s="279" t="s">
        <v>18</v>
      </c>
      <c r="F25" s="41"/>
      <c r="G25" s="43"/>
      <c r="H25" s="49" t="s">
        <v>12</v>
      </c>
      <c r="I25" s="45"/>
      <c r="J25" s="45"/>
      <c r="K25" s="46"/>
      <c r="L25" s="50">
        <f>L51+L66+L79+L101+L132+L146+L164+L193+L180+L273+L289+L310+L327+L340+L363+L384</f>
        <v>0</v>
      </c>
      <c r="M25" s="50">
        <f>M51+M66+M79+M101+M132+M146+M164+M193+M180+M273+M289+M310+M327+M340+M363+M384</f>
        <v>0</v>
      </c>
      <c r="N25" s="50">
        <f>N51+N66+N79+N101+N132+N146+N164+N193+N180+N273+N289+N310+N327+N340+N363+N384</f>
        <v>0</v>
      </c>
      <c r="O25" s="50">
        <f>IF(L25&gt;0,N25*100/L25,0)</f>
        <v>0</v>
      </c>
      <c r="P25" s="50">
        <f>IF(M25&gt;0,N25*100/M25,0)</f>
        <v>0</v>
      </c>
    </row>
    <row r="26" spans="1:16" ht="18.75" x14ac:dyDescent="0.25">
      <c r="A26" s="40"/>
      <c r="B26" s="41"/>
      <c r="C26" s="41"/>
      <c r="D26" s="41"/>
      <c r="E26" s="254" t="s">
        <v>19</v>
      </c>
      <c r="F26" s="41"/>
      <c r="G26" s="43"/>
      <c r="H26" s="44" t="s">
        <v>12</v>
      </c>
      <c r="I26" s="45"/>
      <c r="J26" s="45"/>
      <c r="K26" s="46"/>
      <c r="L26" s="47">
        <f ca="1">L52+L67+L80+L102+L133+L147+L165+L194+L181+L274+L290+L311+L328+L341+L364+L385</f>
        <v>0</v>
      </c>
      <c r="M26" s="47">
        <f ca="1">M52+M67+M80+M102+M133+M147+M165+M194+M181+M274+M290+M311+M328+M341+M364+M385</f>
        <v>0</v>
      </c>
      <c r="N26" s="47">
        <f ca="1">N52+N67+N80+N102+N133+N147+N165+N194+N181+N274+N290+N311+N328+N341+N364+N385</f>
        <v>0</v>
      </c>
      <c r="O26" s="47">
        <f ca="1">IF(L26&gt;0,N26*100/L26,0)</f>
        <v>0</v>
      </c>
      <c r="P26" s="47">
        <f ca="1">IF(M26&gt;0,N26*100/M26,0)</f>
        <v>0</v>
      </c>
    </row>
    <row r="27" spans="1:16" ht="18.75" hidden="1" x14ac:dyDescent="0.25">
      <c r="A27" s="40"/>
      <c r="B27" s="41"/>
      <c r="C27" s="41"/>
      <c r="D27" s="42" t="s">
        <v>22</v>
      </c>
      <c r="E27" s="41"/>
      <c r="F27" s="41"/>
      <c r="G27" s="43"/>
      <c r="H27" s="44" t="s">
        <v>12</v>
      </c>
      <c r="I27" s="45"/>
      <c r="J27" s="45"/>
      <c r="K27" s="46"/>
      <c r="L27" s="47"/>
      <c r="M27" s="47"/>
      <c r="N27" s="47"/>
      <c r="O27" s="47"/>
      <c r="P27" s="47"/>
    </row>
    <row r="28" spans="1:16" ht="18.75" hidden="1" x14ac:dyDescent="0.25">
      <c r="A28" s="40"/>
      <c r="B28" s="41"/>
      <c r="C28" s="41"/>
      <c r="D28" s="41"/>
      <c r="E28" s="279" t="s">
        <v>18</v>
      </c>
      <c r="F28" s="41"/>
      <c r="G28" s="43"/>
      <c r="H28" s="49" t="s">
        <v>12</v>
      </c>
      <c r="I28" s="45"/>
      <c r="J28" s="45"/>
      <c r="K28" s="46"/>
      <c r="L28" s="50"/>
      <c r="M28" s="50"/>
      <c r="N28" s="50"/>
      <c r="O28" s="50"/>
      <c r="P28" s="50"/>
    </row>
    <row r="29" spans="1:16" ht="18.75" hidden="1" x14ac:dyDescent="0.25">
      <c r="A29" s="52"/>
      <c r="B29" s="1"/>
      <c r="C29" s="1"/>
      <c r="D29" s="1"/>
      <c r="E29" s="53" t="s">
        <v>19</v>
      </c>
      <c r="F29" s="1"/>
      <c r="G29" s="54"/>
      <c r="H29" s="55" t="s">
        <v>12</v>
      </c>
      <c r="I29" s="56"/>
      <c r="J29" s="56"/>
      <c r="K29" s="57"/>
      <c r="L29" s="58"/>
      <c r="M29" s="58"/>
      <c r="N29" s="58"/>
      <c r="O29" s="58"/>
      <c r="P29" s="58"/>
    </row>
    <row r="30" spans="1:16" ht="12.75" hidden="1" x14ac:dyDescent="0.2">
      <c r="A30" s="381"/>
      <c r="B30" s="379"/>
      <c r="C30" s="379"/>
      <c r="D30" s="379"/>
      <c r="E30" s="379"/>
      <c r="F30" s="379"/>
      <c r="G30" s="380"/>
      <c r="H30" s="12"/>
      <c r="I30" s="13"/>
      <c r="J30" s="13"/>
      <c r="K30" s="14"/>
      <c r="L30" s="14"/>
      <c r="M30" s="14"/>
      <c r="N30" s="14"/>
      <c r="O30" s="14"/>
      <c r="P30" s="14"/>
    </row>
    <row r="31" spans="1:16" ht="12.75" hidden="1" x14ac:dyDescent="0.2">
      <c r="A31" s="15"/>
      <c r="B31" s="16"/>
      <c r="C31" s="16"/>
      <c r="D31" s="16"/>
      <c r="E31" s="16"/>
      <c r="F31" s="16"/>
      <c r="G31" s="17"/>
      <c r="H31" s="17"/>
      <c r="I31" s="18"/>
      <c r="J31" s="18"/>
      <c r="K31" s="19"/>
      <c r="L31" s="19"/>
      <c r="M31" s="19"/>
      <c r="N31" s="19"/>
      <c r="O31" s="19"/>
      <c r="P31" s="19"/>
    </row>
    <row r="32" spans="1:16" ht="12.75" hidden="1" x14ac:dyDescent="0.2">
      <c r="A32" s="15"/>
      <c r="B32" s="16"/>
      <c r="C32" s="16"/>
      <c r="D32" s="16"/>
      <c r="E32" s="16"/>
      <c r="F32" s="16"/>
      <c r="G32" s="17"/>
      <c r="H32" s="17"/>
      <c r="I32" s="18"/>
      <c r="J32" s="18"/>
      <c r="K32" s="19"/>
      <c r="L32" s="19"/>
      <c r="M32" s="19"/>
      <c r="N32" s="19"/>
      <c r="O32" s="19"/>
      <c r="P32" s="19"/>
    </row>
    <row r="33" spans="1:16" ht="12.75" hidden="1" x14ac:dyDescent="0.2">
      <c r="A33" s="15"/>
      <c r="B33" s="16"/>
      <c r="C33" s="16"/>
      <c r="D33" s="16"/>
      <c r="E33" s="16"/>
      <c r="F33" s="16"/>
      <c r="G33" s="17"/>
      <c r="H33" s="17"/>
      <c r="I33" s="18"/>
      <c r="J33" s="18"/>
      <c r="K33" s="19"/>
      <c r="L33" s="19"/>
      <c r="M33" s="19"/>
      <c r="N33" s="19"/>
      <c r="O33" s="19"/>
      <c r="P33" s="19"/>
    </row>
    <row r="34" spans="1:16" ht="12.75" hidden="1" x14ac:dyDescent="0.2">
      <c r="A34" s="15"/>
      <c r="B34" s="16"/>
      <c r="C34" s="16"/>
      <c r="D34" s="16"/>
      <c r="E34" s="16"/>
      <c r="F34" s="16"/>
      <c r="G34" s="17"/>
      <c r="H34" s="17"/>
      <c r="I34" s="18"/>
      <c r="J34" s="18"/>
      <c r="K34" s="19"/>
      <c r="L34" s="19"/>
      <c r="M34" s="19"/>
      <c r="N34" s="19"/>
      <c r="O34" s="19"/>
      <c r="P34" s="19"/>
    </row>
    <row r="35" spans="1:16" ht="12.75" hidden="1" x14ac:dyDescent="0.2">
      <c r="A35" s="15"/>
      <c r="B35" s="16"/>
      <c r="C35" s="16"/>
      <c r="D35" s="16"/>
      <c r="E35" s="16"/>
      <c r="F35" s="16"/>
      <c r="G35" s="17"/>
      <c r="H35" s="17"/>
      <c r="I35" s="18"/>
      <c r="J35" s="18"/>
      <c r="K35" s="19"/>
      <c r="L35" s="19"/>
      <c r="M35" s="19"/>
      <c r="N35" s="19"/>
      <c r="O35" s="19"/>
      <c r="P35" s="19"/>
    </row>
    <row r="36" spans="1:16" ht="12.75" hidden="1" x14ac:dyDescent="0.2">
      <c r="A36" s="15"/>
      <c r="B36" s="16"/>
      <c r="C36" s="16"/>
      <c r="D36" s="16"/>
      <c r="E36" s="16"/>
      <c r="F36" s="16"/>
      <c r="G36" s="17"/>
      <c r="H36" s="17"/>
      <c r="I36" s="18"/>
      <c r="J36" s="18"/>
      <c r="K36" s="19"/>
      <c r="L36" s="19"/>
      <c r="M36" s="19"/>
      <c r="N36" s="19"/>
      <c r="O36" s="19"/>
      <c r="P36" s="19"/>
    </row>
    <row r="37" spans="1:16" ht="12.75" hidden="1" x14ac:dyDescent="0.2">
      <c r="A37" s="15"/>
      <c r="B37" s="16"/>
      <c r="C37" s="16"/>
      <c r="D37" s="16"/>
      <c r="E37" s="16"/>
      <c r="F37" s="16"/>
      <c r="G37" s="17"/>
      <c r="H37" s="17"/>
      <c r="I37" s="18"/>
      <c r="J37" s="18"/>
      <c r="K37" s="19"/>
      <c r="L37" s="19"/>
      <c r="M37" s="19"/>
      <c r="N37" s="19"/>
      <c r="O37" s="19"/>
      <c r="P37" s="19"/>
    </row>
    <row r="38" spans="1:16" ht="12.75" hidden="1" x14ac:dyDescent="0.2">
      <c r="A38" s="15"/>
      <c r="B38" s="16"/>
      <c r="C38" s="16"/>
      <c r="D38" s="16"/>
      <c r="E38" s="16"/>
      <c r="F38" s="16"/>
      <c r="G38" s="17"/>
      <c r="H38" s="17"/>
      <c r="I38" s="18"/>
      <c r="J38" s="18"/>
      <c r="K38" s="19"/>
      <c r="L38" s="19"/>
      <c r="M38" s="19"/>
      <c r="N38" s="19"/>
      <c r="O38" s="19"/>
      <c r="P38" s="19"/>
    </row>
    <row r="39" spans="1:16" ht="12.75" hidden="1" x14ac:dyDescent="0.2">
      <c r="A39" s="20"/>
      <c r="B39" s="21"/>
      <c r="C39" s="21"/>
      <c r="D39" s="21"/>
      <c r="E39" s="21"/>
      <c r="F39" s="21"/>
      <c r="G39" s="12"/>
      <c r="H39" s="12"/>
      <c r="I39" s="13"/>
      <c r="J39" s="13"/>
      <c r="K39" s="14"/>
      <c r="L39" s="14"/>
      <c r="M39" s="14"/>
      <c r="N39" s="14"/>
      <c r="O39" s="14"/>
      <c r="P39" s="14"/>
    </row>
    <row r="40" spans="1:16" ht="19.5" hidden="1" x14ac:dyDescent="0.3">
      <c r="A40" s="59" t="s">
        <v>23</v>
      </c>
      <c r="B40" s="60"/>
      <c r="C40" s="60"/>
      <c r="D40" s="60"/>
      <c r="E40" s="60"/>
      <c r="F40" s="60"/>
      <c r="G40" s="61"/>
      <c r="H40" s="61"/>
      <c r="I40" s="62"/>
      <c r="J40" s="62"/>
      <c r="K40" s="63"/>
      <c r="L40" s="64">
        <f ca="1">L44+L59+L72+L94+L125+L139+L157+L173+L186+L266+L282+L303+L320+L333+L356</f>
        <v>3226754</v>
      </c>
      <c r="M40" s="64">
        <f ca="1">M44+M59+M72+M94+M125+M139+M157+M173+M186+M266+M282+M303+M320+M333+M356</f>
        <v>2739414</v>
      </c>
      <c r="N40" s="64">
        <f ca="1">N44+N59+N72+N94+N125+N139+N157+N173+N186+N266+N282+N303+N320+N333+N356</f>
        <v>566378.67000000004</v>
      </c>
      <c r="O40" s="64">
        <f ca="1">IF(L40&gt;0,N40*100/L40,0)</f>
        <v>17.552582874306502</v>
      </c>
      <c r="P40" s="64">
        <f ca="1">IF(M40&gt;0,N40*100/M40,0)</f>
        <v>20.675176150811819</v>
      </c>
    </row>
    <row r="41" spans="1:16" ht="19.5" x14ac:dyDescent="0.3">
      <c r="A41" s="65" t="s">
        <v>24</v>
      </c>
      <c r="B41" s="66"/>
      <c r="C41" s="66"/>
      <c r="D41" s="66"/>
      <c r="E41" s="66"/>
      <c r="F41" s="66"/>
      <c r="G41" s="66"/>
      <c r="H41" s="66"/>
      <c r="I41" s="67"/>
      <c r="J41" s="67"/>
      <c r="K41" s="68"/>
      <c r="L41" s="68"/>
      <c r="M41" s="68"/>
      <c r="N41" s="68"/>
      <c r="O41" s="68"/>
      <c r="P41" s="69"/>
    </row>
    <row r="42" spans="1:16" ht="19.5" x14ac:dyDescent="0.3">
      <c r="A42" s="70"/>
      <c r="B42" s="71" t="s">
        <v>25</v>
      </c>
      <c r="C42" s="70"/>
      <c r="D42" s="70"/>
      <c r="E42" s="70"/>
      <c r="F42" s="70"/>
      <c r="G42" s="72"/>
      <c r="H42" s="72"/>
      <c r="I42" s="73"/>
      <c r="J42" s="73"/>
      <c r="K42" s="74"/>
      <c r="L42" s="74"/>
      <c r="M42" s="74"/>
      <c r="N42" s="74"/>
      <c r="O42" s="74"/>
      <c r="P42" s="74"/>
    </row>
    <row r="43" spans="1:16" ht="12.75" hidden="1" x14ac:dyDescent="0.2">
      <c r="A43" s="15"/>
      <c r="B43" s="16"/>
      <c r="C43" s="16"/>
      <c r="D43" s="16"/>
      <c r="E43" s="16"/>
      <c r="F43" s="16"/>
      <c r="G43" s="17"/>
      <c r="H43" s="17"/>
      <c r="I43" s="18"/>
      <c r="J43" s="18"/>
      <c r="K43" s="19"/>
      <c r="L43" s="19"/>
      <c r="M43" s="19"/>
      <c r="N43" s="19"/>
      <c r="O43" s="19"/>
      <c r="P43" s="19"/>
    </row>
    <row r="44" spans="1:16" ht="19.5" x14ac:dyDescent="0.3">
      <c r="A44" s="75"/>
      <c r="B44" s="76"/>
      <c r="C44" s="77" t="s">
        <v>16</v>
      </c>
      <c r="D44" s="404" t="s">
        <v>17</v>
      </c>
      <c r="E44" s="76"/>
      <c r="F44" s="76"/>
      <c r="G44" s="79"/>
      <c r="H44" s="80" t="s">
        <v>12</v>
      </c>
      <c r="I44" s="81"/>
      <c r="J44" s="81"/>
      <c r="K44" s="82"/>
      <c r="L44" s="83">
        <f ca="1">L45+L46</f>
        <v>475534</v>
      </c>
      <c r="M44" s="83">
        <f ca="1">M45+M46</f>
        <v>475534</v>
      </c>
      <c r="N44" s="83">
        <f ca="1">N45+N46</f>
        <v>140556</v>
      </c>
      <c r="O44" s="83">
        <f ca="1">IF(L44&gt;0,N44*100/L44,0)</f>
        <v>29.557507980501921</v>
      </c>
      <c r="P44" s="83">
        <f ca="1">IF(M44&gt;0,N44*100/M44,0)</f>
        <v>29.557507980501921</v>
      </c>
    </row>
    <row r="45" spans="1:16" ht="18.75" hidden="1" x14ac:dyDescent="0.25">
      <c r="A45" s="75"/>
      <c r="B45" s="76"/>
      <c r="C45" s="76"/>
      <c r="D45" s="76"/>
      <c r="E45" s="84" t="s">
        <v>18</v>
      </c>
      <c r="F45" s="76"/>
      <c r="G45" s="79"/>
      <c r="H45" s="85" t="s">
        <v>12</v>
      </c>
      <c r="I45" s="81"/>
      <c r="J45" s="81"/>
      <c r="K45" s="82"/>
      <c r="L45" s="86">
        <f>L48+L51</f>
        <v>0</v>
      </c>
      <c r="M45" s="86">
        <f>M48+M51</f>
        <v>0</v>
      </c>
      <c r="N45" s="86">
        <f>N48+N51</f>
        <v>0</v>
      </c>
      <c r="O45" s="86">
        <f>IF(L45&gt;0,N45*100/L45,0)</f>
        <v>0</v>
      </c>
      <c r="P45" s="86">
        <f>IF(M45&gt;0,N45*100/M45,0)</f>
        <v>0</v>
      </c>
    </row>
    <row r="46" spans="1:16" ht="18.75" x14ac:dyDescent="0.25">
      <c r="A46" s="75"/>
      <c r="B46" s="76"/>
      <c r="C46" s="76"/>
      <c r="D46" s="76"/>
      <c r="E46" s="87" t="s">
        <v>19</v>
      </c>
      <c r="F46" s="76"/>
      <c r="G46" s="79"/>
      <c r="H46" s="88" t="s">
        <v>12</v>
      </c>
      <c r="I46" s="81"/>
      <c r="J46" s="81"/>
      <c r="K46" s="82"/>
      <c r="L46" s="89">
        <f ca="1">L49+L52</f>
        <v>475534</v>
      </c>
      <c r="M46" s="89">
        <f ca="1">M49+M52</f>
        <v>475534</v>
      </c>
      <c r="N46" s="89">
        <f ca="1">N49+N52</f>
        <v>140556</v>
      </c>
      <c r="O46" s="89">
        <f ca="1">IF(L46&gt;0,N46*100/L46,0)</f>
        <v>29.557507980501921</v>
      </c>
      <c r="P46" s="89">
        <f ca="1">IF(M46&gt;0,N46*100/M46,0)</f>
        <v>29.557507980501921</v>
      </c>
    </row>
    <row r="47" spans="1:16" ht="18.75" x14ac:dyDescent="0.25">
      <c r="A47" s="40"/>
      <c r="B47" s="41"/>
      <c r="C47" s="41"/>
      <c r="D47" s="42" t="s">
        <v>20</v>
      </c>
      <c r="E47" s="41"/>
      <c r="F47" s="41"/>
      <c r="G47" s="43"/>
      <c r="H47" s="44" t="s">
        <v>12</v>
      </c>
      <c r="I47" s="45"/>
      <c r="J47" s="45"/>
      <c r="K47" s="46"/>
      <c r="L47" s="47">
        <f ca="1">L48+L49</f>
        <v>475534</v>
      </c>
      <c r="M47" s="47">
        <f ca="1">M48+M49</f>
        <v>475534</v>
      </c>
      <c r="N47" s="47">
        <f ca="1">N48+N49</f>
        <v>140556</v>
      </c>
      <c r="O47" s="47">
        <f ca="1">IF(L47&gt;0,N47*100/L47,0)</f>
        <v>29.557507980501921</v>
      </c>
      <c r="P47" s="47">
        <f ca="1">IF(M47&gt;0,N47*100/M47,0)</f>
        <v>29.557507980501921</v>
      </c>
    </row>
    <row r="48" spans="1:16" ht="18.75" hidden="1" x14ac:dyDescent="0.25">
      <c r="A48" s="40"/>
      <c r="B48" s="41"/>
      <c r="C48" s="41"/>
      <c r="D48" s="41"/>
      <c r="E48" s="279" t="s">
        <v>18</v>
      </c>
      <c r="F48" s="41"/>
      <c r="G48" s="43"/>
      <c r="H48" s="49" t="s">
        <v>12</v>
      </c>
      <c r="I48" s="45"/>
      <c r="J48" s="45"/>
      <c r="K48" s="46"/>
      <c r="L48" s="50">
        <v>0</v>
      </c>
      <c r="M48" s="50">
        <v>0</v>
      </c>
      <c r="N48" s="50">
        <v>0</v>
      </c>
      <c r="O48" s="50">
        <f>IF(L48&gt;0,N48*100/L48,0)</f>
        <v>0</v>
      </c>
      <c r="P48" s="50">
        <f>IF(M48&gt;0,N48*100/M48,0)</f>
        <v>0</v>
      </c>
    </row>
    <row r="49" spans="1:16" ht="18.75" x14ac:dyDescent="0.25">
      <c r="A49" s="40"/>
      <c r="B49" s="41"/>
      <c r="C49" s="41"/>
      <c r="D49" s="41"/>
      <c r="E49" s="254" t="s">
        <v>19</v>
      </c>
      <c r="F49" s="41"/>
      <c r="G49" s="43"/>
      <c r="H49" s="44" t="s">
        <v>12</v>
      </c>
      <c r="I49" s="45"/>
      <c r="J49" s="45"/>
      <c r="K49" s="46"/>
      <c r="L49" s="47">
        <f ca="1">IFERROR(__xludf.DUMMYFUNCTION("IMPORTRANGE(""https://docs.google.com/spreadsheets/d/1-uDff_7J0KD5mKrp0Vvzr7lt3OU09vwQwhkpOPPYv2Y/edit?usp=sharing"",""งบพรบ!P15"")"),475534)</f>
        <v>475534</v>
      </c>
      <c r="M49" s="47">
        <f ca="1">IFERROR(__xludf.DUMMYFUNCTION("IMPORTRANGE(""https://docs.google.com/spreadsheets/d/1-uDff_7J0KD5mKrp0Vvzr7lt3OU09vwQwhkpOPPYv2Y/edit?usp=sharing"",""งบพรบ!V15"")"),475534)</f>
        <v>475534</v>
      </c>
      <c r="N49" s="47">
        <f ca="1">IFERROR(__xludf.DUMMYFUNCTION("IMPORTRANGE(""https://docs.google.com/spreadsheets/d/1-uDff_7J0KD5mKrp0Vvzr7lt3OU09vwQwhkpOPPYv2Y/edit?usp=sharing"",""งบพรบ!Y15"")"),140556)</f>
        <v>140556</v>
      </c>
      <c r="O49" s="47">
        <f ca="1">IF(L49&gt;0,N49*100/L49,0)</f>
        <v>29.557507980501921</v>
      </c>
      <c r="P49" s="47">
        <f ca="1">IF(M49&gt;0,N49*100/M49,0)</f>
        <v>29.557507980501921</v>
      </c>
    </row>
    <row r="50" spans="1:16" ht="18.75" x14ac:dyDescent="0.25">
      <c r="A50" s="40"/>
      <c r="B50" s="41"/>
      <c r="C50" s="41"/>
      <c r="D50" s="42" t="s">
        <v>21</v>
      </c>
      <c r="E50" s="41"/>
      <c r="F50" s="41"/>
      <c r="G50" s="43"/>
      <c r="H50" s="44" t="s">
        <v>12</v>
      </c>
      <c r="I50" s="45"/>
      <c r="J50" s="45"/>
      <c r="K50" s="46"/>
      <c r="L50" s="47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</row>
    <row r="51" spans="1:16" ht="18.75" hidden="1" x14ac:dyDescent="0.25">
      <c r="A51" s="40"/>
      <c r="B51" s="41"/>
      <c r="C51" s="41"/>
      <c r="D51" s="41"/>
      <c r="E51" s="279" t="s">
        <v>18</v>
      </c>
      <c r="F51" s="41"/>
      <c r="G51" s="43"/>
      <c r="H51" s="49" t="s">
        <v>12</v>
      </c>
      <c r="I51" s="45"/>
      <c r="J51" s="45"/>
      <c r="K51" s="46"/>
      <c r="L51" s="50">
        <v>0</v>
      </c>
      <c r="M51" s="50">
        <v>0</v>
      </c>
      <c r="N51" s="50">
        <v>0</v>
      </c>
      <c r="O51" s="50">
        <f>IF(L51&gt;0,N51*100/L51,0)</f>
        <v>0</v>
      </c>
      <c r="P51" s="50">
        <f>IF(M51&gt;0,N51*100/M51,0)</f>
        <v>0</v>
      </c>
    </row>
    <row r="52" spans="1:16" ht="18.75" x14ac:dyDescent="0.25">
      <c r="A52" s="40"/>
      <c r="B52" s="41"/>
      <c r="C52" s="41"/>
      <c r="D52" s="41"/>
      <c r="E52" s="254" t="s">
        <v>19</v>
      </c>
      <c r="F52" s="41"/>
      <c r="G52" s="43"/>
      <c r="H52" s="44" t="s">
        <v>12</v>
      </c>
      <c r="I52" s="45"/>
      <c r="J52" s="45"/>
      <c r="K52" s="46"/>
      <c r="L52" s="47">
        <f ca="1">IFERROR(__xludf.DUMMYFUNCTION("IMPORTRANGE(""https://docs.google.com/spreadsheets/d/1-uDff_7J0KD5mKrp0Vvzr7lt3OU09vwQwhkpOPPYv2Y/edit?usp=sharing"",""งบพรบ!S15"")"),0)</f>
        <v>0</v>
      </c>
      <c r="M52" s="47">
        <f ca="1">IFERROR(__xludf.DUMMYFUNCTION("IMPORTRANGE(""https://docs.google.com/spreadsheets/d/1-uDff_7J0KD5mKrp0Vvzr7lt3OU09vwQwhkpOPPYv2Y/edit?usp=sharing"",""งบพรบ!W15"")"),0)</f>
        <v>0</v>
      </c>
      <c r="N52" s="47">
        <f ca="1">IFERROR(__xludf.DUMMYFUNCTION("IMPORTRANGE(""https://docs.google.com/spreadsheets/d/1-uDff_7J0KD5mKrp0Vvzr7lt3OU09vwQwhkpOPPYv2Y/edit?usp=sharing"",""งบพรบ!Z15"")"),0)</f>
        <v>0</v>
      </c>
      <c r="O52" s="47">
        <f ca="1">IF(L52&gt;0,N52*100/L52,0)</f>
        <v>0</v>
      </c>
      <c r="P52" s="47">
        <f ca="1">IF(M52&gt;0,N52*100/M52,0)</f>
        <v>0</v>
      </c>
    </row>
    <row r="53" spans="1:16" ht="18.75" hidden="1" x14ac:dyDescent="0.25">
      <c r="A53" s="40"/>
      <c r="B53" s="41"/>
      <c r="C53" s="41"/>
      <c r="D53" s="42" t="s">
        <v>22</v>
      </c>
      <c r="E53" s="41"/>
      <c r="F53" s="41"/>
      <c r="G53" s="43"/>
      <c r="H53" s="44" t="s">
        <v>12</v>
      </c>
      <c r="I53" s="45"/>
      <c r="J53" s="45"/>
      <c r="K53" s="46"/>
      <c r="L53" s="47"/>
      <c r="M53" s="47"/>
      <c r="N53" s="47"/>
      <c r="O53" s="47"/>
      <c r="P53" s="47"/>
    </row>
    <row r="54" spans="1:16" ht="18.75" hidden="1" x14ac:dyDescent="0.25">
      <c r="A54" s="40"/>
      <c r="B54" s="41"/>
      <c r="C54" s="41"/>
      <c r="D54" s="41"/>
      <c r="E54" s="279" t="s">
        <v>18</v>
      </c>
      <c r="F54" s="41"/>
      <c r="G54" s="43"/>
      <c r="H54" s="49" t="s">
        <v>12</v>
      </c>
      <c r="I54" s="45"/>
      <c r="J54" s="45"/>
      <c r="K54" s="46"/>
      <c r="L54" s="50"/>
      <c r="M54" s="50"/>
      <c r="N54" s="50"/>
      <c r="O54" s="50"/>
      <c r="P54" s="50"/>
    </row>
    <row r="55" spans="1:16" ht="18.75" hidden="1" x14ac:dyDescent="0.25">
      <c r="A55" s="52"/>
      <c r="B55" s="1"/>
      <c r="C55" s="1"/>
      <c r="D55" s="1"/>
      <c r="E55" s="53" t="s">
        <v>19</v>
      </c>
      <c r="F55" s="1"/>
      <c r="G55" s="54"/>
      <c r="H55" s="55" t="s">
        <v>12</v>
      </c>
      <c r="I55" s="56"/>
      <c r="J55" s="56"/>
      <c r="K55" s="57"/>
      <c r="L55" s="58"/>
      <c r="M55" s="58"/>
      <c r="N55" s="58"/>
      <c r="O55" s="58"/>
      <c r="P55" s="58"/>
    </row>
    <row r="56" spans="1:16" ht="19.5" x14ac:dyDescent="0.3">
      <c r="A56" s="382" t="s">
        <v>26</v>
      </c>
      <c r="B56" s="379"/>
      <c r="C56" s="379"/>
      <c r="D56" s="379"/>
      <c r="E56" s="379"/>
      <c r="F56" s="379"/>
      <c r="G56" s="380"/>
      <c r="H56" s="90"/>
      <c r="I56" s="91"/>
      <c r="J56" s="91"/>
      <c r="K56" s="92"/>
      <c r="L56" s="92"/>
      <c r="M56" s="92"/>
      <c r="N56" s="92"/>
      <c r="O56" s="92"/>
      <c r="P56" s="93"/>
    </row>
    <row r="57" spans="1:16" ht="19.5" x14ac:dyDescent="0.3">
      <c r="A57" s="94"/>
      <c r="B57" s="383" t="s">
        <v>27</v>
      </c>
      <c r="C57" s="384"/>
      <c r="D57" s="384"/>
      <c r="E57" s="384"/>
      <c r="F57" s="384"/>
      <c r="G57" s="385"/>
      <c r="H57" s="95"/>
      <c r="I57" s="96"/>
      <c r="J57" s="96"/>
      <c r="K57" s="97"/>
      <c r="L57" s="97"/>
      <c r="M57" s="97"/>
      <c r="N57" s="97"/>
      <c r="O57" s="97"/>
      <c r="P57" s="97"/>
    </row>
    <row r="58" spans="1:16" ht="19.5" x14ac:dyDescent="0.3">
      <c r="A58" s="98"/>
      <c r="B58" s="99" t="s">
        <v>28</v>
      </c>
      <c r="C58" s="100"/>
      <c r="D58" s="100"/>
      <c r="E58" s="100"/>
      <c r="F58" s="100"/>
      <c r="G58" s="101"/>
      <c r="H58" s="101"/>
      <c r="I58" s="102"/>
      <c r="J58" s="102"/>
      <c r="K58" s="103"/>
      <c r="L58" s="103"/>
      <c r="M58" s="103"/>
      <c r="N58" s="103"/>
      <c r="O58" s="103"/>
      <c r="P58" s="103"/>
    </row>
    <row r="59" spans="1:16" ht="19.5" x14ac:dyDescent="0.3">
      <c r="A59" s="104"/>
      <c r="B59" s="105"/>
      <c r="C59" s="106" t="s">
        <v>16</v>
      </c>
      <c r="D59" s="403" t="s">
        <v>17</v>
      </c>
      <c r="E59" s="105"/>
      <c r="F59" s="105"/>
      <c r="G59" s="108"/>
      <c r="H59" s="109" t="s">
        <v>12</v>
      </c>
      <c r="I59" s="110"/>
      <c r="J59" s="110"/>
      <c r="K59" s="111"/>
      <c r="L59" s="112">
        <f ca="1">L60+L61</f>
        <v>508300</v>
      </c>
      <c r="M59" s="112">
        <f ca="1">M60+M61</f>
        <v>383450</v>
      </c>
      <c r="N59" s="112">
        <f ca="1">N60+N61</f>
        <v>211084.48</v>
      </c>
      <c r="O59" s="112">
        <f ca="1">IF(L59&gt;0,N59*100/L59,0)</f>
        <v>41.527538855006888</v>
      </c>
      <c r="P59" s="112">
        <f ca="1">IF(M59&gt;0,N59*100/M59,0)</f>
        <v>55.048762550528103</v>
      </c>
    </row>
    <row r="60" spans="1:16" ht="18.75" hidden="1" x14ac:dyDescent="0.25">
      <c r="A60" s="104"/>
      <c r="B60" s="105"/>
      <c r="C60" s="105"/>
      <c r="D60" s="105"/>
      <c r="E60" s="113" t="s">
        <v>18</v>
      </c>
      <c r="F60" s="105"/>
      <c r="G60" s="108"/>
      <c r="H60" s="114" t="s">
        <v>12</v>
      </c>
      <c r="I60" s="110"/>
      <c r="J60" s="110"/>
      <c r="K60" s="111"/>
      <c r="L60" s="115">
        <f>L63+L66</f>
        <v>0</v>
      </c>
      <c r="M60" s="115">
        <f>M63+M66</f>
        <v>0</v>
      </c>
      <c r="N60" s="115">
        <f>N63+N66</f>
        <v>0</v>
      </c>
      <c r="O60" s="115">
        <f>IF(L60&gt;0,N60*100/L60,0)</f>
        <v>0</v>
      </c>
      <c r="P60" s="115">
        <f>IF(M60&gt;0,N60*100/M60,0)</f>
        <v>0</v>
      </c>
    </row>
    <row r="61" spans="1:16" ht="18.75" x14ac:dyDescent="0.25">
      <c r="A61" s="104"/>
      <c r="B61" s="105"/>
      <c r="C61" s="105"/>
      <c r="D61" s="105"/>
      <c r="E61" s="116" t="s">
        <v>19</v>
      </c>
      <c r="F61" s="105"/>
      <c r="G61" s="108"/>
      <c r="H61" s="117" t="s">
        <v>12</v>
      </c>
      <c r="I61" s="110"/>
      <c r="J61" s="110"/>
      <c r="K61" s="111"/>
      <c r="L61" s="118">
        <f ca="1">L64+L67</f>
        <v>508300</v>
      </c>
      <c r="M61" s="118">
        <f ca="1">M64+M67</f>
        <v>383450</v>
      </c>
      <c r="N61" s="118">
        <f ca="1">N64+N67</f>
        <v>211084.48</v>
      </c>
      <c r="O61" s="118">
        <f ca="1">IF(L61&gt;0,N61*100/L61,0)</f>
        <v>41.527538855006888</v>
      </c>
      <c r="P61" s="118">
        <f ca="1">IF(M61&gt;0,N61*100/M61,0)</f>
        <v>55.048762550528103</v>
      </c>
    </row>
    <row r="62" spans="1:16" ht="18.75" x14ac:dyDescent="0.25">
      <c r="A62" s="40"/>
      <c r="B62" s="41"/>
      <c r="C62" s="41"/>
      <c r="D62" s="42" t="s">
        <v>20</v>
      </c>
      <c r="E62" s="41"/>
      <c r="F62" s="41"/>
      <c r="G62" s="43"/>
      <c r="H62" s="44" t="s">
        <v>12</v>
      </c>
      <c r="I62" s="45"/>
      <c r="J62" s="45"/>
      <c r="K62" s="46"/>
      <c r="L62" s="47">
        <f ca="1">L63+L64</f>
        <v>508300</v>
      </c>
      <c r="M62" s="47">
        <f ca="1">M63+M64</f>
        <v>383450</v>
      </c>
      <c r="N62" s="47">
        <f ca="1">N63+N64</f>
        <v>211084.48</v>
      </c>
      <c r="O62" s="47">
        <f ca="1">IF(L62&gt;0,N62*100/L62,0)</f>
        <v>41.527538855006888</v>
      </c>
      <c r="P62" s="47">
        <f ca="1">IF(M62&gt;0,N62*100/M62,0)</f>
        <v>55.048762550528103</v>
      </c>
    </row>
    <row r="63" spans="1:16" ht="18.75" hidden="1" x14ac:dyDescent="0.25">
      <c r="A63" s="40"/>
      <c r="B63" s="41"/>
      <c r="C63" s="41"/>
      <c r="D63" s="41"/>
      <c r="E63" s="279" t="s">
        <v>18</v>
      </c>
      <c r="F63" s="41"/>
      <c r="G63" s="43"/>
      <c r="H63" s="49" t="s">
        <v>12</v>
      </c>
      <c r="I63" s="45"/>
      <c r="J63" s="45"/>
      <c r="K63" s="46"/>
      <c r="L63" s="50">
        <v>0</v>
      </c>
      <c r="M63" s="50">
        <v>0</v>
      </c>
      <c r="N63" s="50">
        <v>0</v>
      </c>
      <c r="O63" s="50">
        <f>IF(L63&gt;0,N63*100/L63,0)</f>
        <v>0</v>
      </c>
      <c r="P63" s="50">
        <f>IF(M63&gt;0,N63*100/M63,0)</f>
        <v>0</v>
      </c>
    </row>
    <row r="64" spans="1:16" ht="18.75" x14ac:dyDescent="0.25">
      <c r="A64" s="40"/>
      <c r="B64" s="41"/>
      <c r="C64" s="41"/>
      <c r="D64" s="41"/>
      <c r="E64" s="254" t="s">
        <v>19</v>
      </c>
      <c r="F64" s="41"/>
      <c r="G64" s="43"/>
      <c r="H64" s="44" t="s">
        <v>12</v>
      </c>
      <c r="I64" s="45"/>
      <c r="J64" s="45"/>
      <c r="K64" s="46"/>
      <c r="L64" s="47">
        <f ca="1">IFERROR(__xludf.DUMMYFUNCTION("IMPORTRANGE(""https://docs.google.com/spreadsheets/d/1-uDff_7J0KD5mKrp0Vvzr7lt3OU09vwQwhkpOPPYv2Y/edit?usp=sharing"",""งบพรบ!AC15"")"),508300)</f>
        <v>508300</v>
      </c>
      <c r="M64" s="47">
        <f ca="1">IFERROR(__xludf.DUMMYFUNCTION("IMPORTRANGE(""https://docs.google.com/spreadsheets/d/1-uDff_7J0KD5mKrp0Vvzr7lt3OU09vwQwhkpOPPYv2Y/edit?usp=sharing"",""งบพรบ!AH15"")"),383450)</f>
        <v>383450</v>
      </c>
      <c r="N64" s="47">
        <f ca="1">IFERROR(__xludf.DUMMYFUNCTION("IMPORTRANGE(""https://docs.google.com/spreadsheets/d/1-uDff_7J0KD5mKrp0Vvzr7lt3OU09vwQwhkpOPPYv2Y/edit?usp=sharing"",""งบพรบ!AJ15"")"),211084.48)</f>
        <v>211084.48</v>
      </c>
      <c r="O64" s="47">
        <f ca="1">IF(L64&gt;0,N64*100/L64,0)</f>
        <v>41.527538855006888</v>
      </c>
      <c r="P64" s="47">
        <f ca="1">IF(M64&gt;0,N64*100/M64,0)</f>
        <v>55.048762550528103</v>
      </c>
    </row>
    <row r="65" spans="1:16" ht="18.75" x14ac:dyDescent="0.25">
      <c r="A65" s="40"/>
      <c r="B65" s="41"/>
      <c r="C65" s="41"/>
      <c r="D65" s="42" t="s">
        <v>21</v>
      </c>
      <c r="E65" s="41"/>
      <c r="F65" s="41"/>
      <c r="G65" s="43"/>
      <c r="H65" s="44" t="s">
        <v>12</v>
      </c>
      <c r="I65" s="45"/>
      <c r="J65" s="45"/>
      <c r="K65" s="46"/>
      <c r="L65" s="47">
        <f ca="1">L66+L67</f>
        <v>0</v>
      </c>
      <c r="M65" s="47">
        <f ca="1">M66+M67</f>
        <v>0</v>
      </c>
      <c r="N65" s="47">
        <f ca="1">N66+N67</f>
        <v>0</v>
      </c>
      <c r="O65" s="47">
        <f ca="1">IF(L65&gt;0,N65*100/L65,0)</f>
        <v>0</v>
      </c>
      <c r="P65" s="47">
        <f ca="1">IF(M65&gt;0,N65*100/M65,0)</f>
        <v>0</v>
      </c>
    </row>
    <row r="66" spans="1:16" ht="18.75" hidden="1" x14ac:dyDescent="0.25">
      <c r="A66" s="40"/>
      <c r="B66" s="41"/>
      <c r="C66" s="41"/>
      <c r="D66" s="41"/>
      <c r="E66" s="279" t="s">
        <v>18</v>
      </c>
      <c r="F66" s="41"/>
      <c r="G66" s="43"/>
      <c r="H66" s="49" t="s">
        <v>12</v>
      </c>
      <c r="I66" s="45"/>
      <c r="J66" s="45"/>
      <c r="K66" s="46"/>
      <c r="L66" s="50">
        <v>0</v>
      </c>
      <c r="M66" s="50">
        <v>0</v>
      </c>
      <c r="N66" s="50">
        <v>0</v>
      </c>
      <c r="O66" s="50">
        <f>IF(L66&gt;0,N66*100/L66,0)</f>
        <v>0</v>
      </c>
      <c r="P66" s="50">
        <f>IF(M66&gt;0,N66*100/M66,0)</f>
        <v>0</v>
      </c>
    </row>
    <row r="67" spans="1:16" ht="18.75" x14ac:dyDescent="0.25">
      <c r="A67" s="52"/>
      <c r="B67" s="1"/>
      <c r="C67" s="1"/>
      <c r="D67" s="1"/>
      <c r="E67" s="53" t="s">
        <v>19</v>
      </c>
      <c r="F67" s="1"/>
      <c r="G67" s="54"/>
      <c r="H67" s="55" t="s">
        <v>12</v>
      </c>
      <c r="I67" s="56"/>
      <c r="J67" s="56"/>
      <c r="K67" s="57"/>
      <c r="L67" s="58">
        <f ca="1">IFERROR(__xludf.DUMMYFUNCTION("IMPORTRANGE(""https://docs.google.com/spreadsheets/d/1-uDff_7J0KD5mKrp0Vvzr7lt3OU09vwQwhkpOPPYv2Y/edit?usp=sharing"",""งบพรบ!AF15"")"),0)</f>
        <v>0</v>
      </c>
      <c r="M67" s="58">
        <f ca="1">IFERROR(__xludf.DUMMYFUNCTION("IMPORTRANGE(""https://docs.google.com/spreadsheets/d/1-uDff_7J0KD5mKrp0Vvzr7lt3OU09vwQwhkpOPPYv2Y/edit?usp=sharing"",""งบพรบ!AI15"")"),0)</f>
        <v>0</v>
      </c>
      <c r="N67" s="58">
        <f ca="1">IFERROR(__xludf.DUMMYFUNCTION("IMPORTRANGE(""https://docs.google.com/spreadsheets/d/1-uDff_7J0KD5mKrp0Vvzr7lt3OU09vwQwhkpOPPYv2Y/edit?usp=sharing"",""งบพรบ!AK15"")"),0)</f>
        <v>0</v>
      </c>
      <c r="O67" s="58">
        <f ca="1">IF(L67&gt;0,N67*100/L67,0)</f>
        <v>0</v>
      </c>
      <c r="P67" s="58">
        <f ca="1">IF(M67&gt;0,N67*100/M67,0)</f>
        <v>0</v>
      </c>
    </row>
    <row r="68" spans="1:16" ht="19.5" x14ac:dyDescent="0.3">
      <c r="A68" s="119" t="s">
        <v>29</v>
      </c>
      <c r="B68" s="120"/>
      <c r="C68" s="120"/>
      <c r="D68" s="120"/>
      <c r="E68" s="121"/>
      <c r="F68" s="121"/>
      <c r="G68" s="121"/>
      <c r="H68" s="121"/>
      <c r="I68" s="122"/>
      <c r="J68" s="122"/>
      <c r="K68" s="123"/>
      <c r="L68" s="123"/>
      <c r="M68" s="123"/>
      <c r="N68" s="123"/>
      <c r="O68" s="123"/>
      <c r="P68" s="124"/>
    </row>
    <row r="69" spans="1:16" ht="19.5" x14ac:dyDescent="0.3">
      <c r="A69" s="125" t="s">
        <v>30</v>
      </c>
      <c r="B69" s="126"/>
      <c r="C69" s="127"/>
      <c r="D69" s="126"/>
      <c r="E69" s="126"/>
      <c r="F69" s="126"/>
      <c r="G69" s="128"/>
      <c r="H69" s="128"/>
      <c r="I69" s="129"/>
      <c r="J69" s="129"/>
      <c r="K69" s="130"/>
      <c r="L69" s="130"/>
      <c r="M69" s="130"/>
      <c r="N69" s="130"/>
      <c r="O69" s="130"/>
      <c r="P69" s="130"/>
    </row>
    <row r="70" spans="1:16" ht="19.5" x14ac:dyDescent="0.3">
      <c r="A70" s="131"/>
      <c r="B70" s="132" t="s">
        <v>31</v>
      </c>
      <c r="C70" s="26"/>
      <c r="D70" s="133"/>
      <c r="E70" s="26"/>
      <c r="F70" s="26"/>
      <c r="G70" s="29"/>
      <c r="H70" s="134" t="s">
        <v>32</v>
      </c>
      <c r="I70" s="135">
        <f ca="1">I82</f>
        <v>1</v>
      </c>
      <c r="J70" s="135">
        <f>J82</f>
        <v>0</v>
      </c>
      <c r="K70" s="33">
        <f ca="1">IF(I70&gt;0,J70*100/I70,0)</f>
        <v>0</v>
      </c>
      <c r="L70" s="32"/>
      <c r="M70" s="32"/>
      <c r="N70" s="32"/>
      <c r="O70" s="32"/>
      <c r="P70" s="32"/>
    </row>
    <row r="71" spans="1:16" ht="19.5" x14ac:dyDescent="0.3">
      <c r="A71" s="131"/>
      <c r="B71" s="26"/>
      <c r="C71" s="26"/>
      <c r="D71" s="133"/>
      <c r="E71" s="26"/>
      <c r="F71" s="26"/>
      <c r="G71" s="29"/>
      <c r="H71" s="134" t="s">
        <v>33</v>
      </c>
      <c r="I71" s="135">
        <f ca="1">I83</f>
        <v>60</v>
      </c>
      <c r="J71" s="135">
        <f>J83</f>
        <v>0</v>
      </c>
      <c r="K71" s="33">
        <f ca="1">IF(I71&gt;0,J71*100/I71,0)</f>
        <v>0</v>
      </c>
      <c r="L71" s="32"/>
      <c r="M71" s="32"/>
      <c r="N71" s="32"/>
      <c r="O71" s="32"/>
      <c r="P71" s="32"/>
    </row>
    <row r="72" spans="1:16" ht="19.5" x14ac:dyDescent="0.3">
      <c r="A72" s="136"/>
      <c r="B72" s="41"/>
      <c r="C72" s="197" t="s">
        <v>16</v>
      </c>
      <c r="D72" s="397" t="s">
        <v>17</v>
      </c>
      <c r="E72" s="41"/>
      <c r="F72" s="41"/>
      <c r="G72" s="43"/>
      <c r="H72" s="139" t="s">
        <v>12</v>
      </c>
      <c r="I72" s="45"/>
      <c r="J72" s="45"/>
      <c r="K72" s="46"/>
      <c r="L72" s="140">
        <f ca="1">L73+L74</f>
        <v>791300</v>
      </c>
      <c r="M72" s="140">
        <f ca="1">M73+M74</f>
        <v>657500</v>
      </c>
      <c r="N72" s="140">
        <f ca="1">N73+N74</f>
        <v>115617</v>
      </c>
      <c r="O72" s="140">
        <f ca="1">IF(L72&gt;0,N72*100/L72,0)</f>
        <v>14.611019840768355</v>
      </c>
      <c r="P72" s="140">
        <f ca="1">IF(M72&gt;0,N72*100/M72,0)</f>
        <v>17.584334600760457</v>
      </c>
    </row>
    <row r="73" spans="1:16" ht="18.75" hidden="1" x14ac:dyDescent="0.25">
      <c r="A73" s="136"/>
      <c r="B73" s="41"/>
      <c r="C73" s="41"/>
      <c r="D73" s="41"/>
      <c r="E73" s="279" t="s">
        <v>18</v>
      </c>
      <c r="F73" s="41"/>
      <c r="G73" s="43"/>
      <c r="H73" s="141" t="s">
        <v>12</v>
      </c>
      <c r="I73" s="45"/>
      <c r="J73" s="45"/>
      <c r="K73" s="46"/>
      <c r="L73" s="50">
        <f>L76+L79</f>
        <v>0</v>
      </c>
      <c r="M73" s="50">
        <f>M76+M79</f>
        <v>0</v>
      </c>
      <c r="N73" s="50">
        <f>N76+N79</f>
        <v>0</v>
      </c>
      <c r="O73" s="50">
        <f>IF(L73&gt;0,N73*100/L73,0)</f>
        <v>0</v>
      </c>
      <c r="P73" s="50">
        <f>IF(M73&gt;0,N73*100/M73,0)</f>
        <v>0</v>
      </c>
    </row>
    <row r="74" spans="1:16" ht="18.75" x14ac:dyDescent="0.25">
      <c r="A74" s="136"/>
      <c r="B74" s="41"/>
      <c r="C74" s="41"/>
      <c r="D74" s="41"/>
      <c r="E74" s="254" t="s">
        <v>19</v>
      </c>
      <c r="F74" s="41"/>
      <c r="G74" s="43"/>
      <c r="H74" s="142" t="s">
        <v>12</v>
      </c>
      <c r="I74" s="45"/>
      <c r="J74" s="45"/>
      <c r="K74" s="46"/>
      <c r="L74" s="47">
        <f ca="1">L77+L80</f>
        <v>791300</v>
      </c>
      <c r="M74" s="47">
        <f ca="1">M77+M80</f>
        <v>657500</v>
      </c>
      <c r="N74" s="47">
        <f ca="1">N77+N80</f>
        <v>115617</v>
      </c>
      <c r="O74" s="47">
        <f ca="1">IF(L74&gt;0,N74*100/L74,0)</f>
        <v>14.611019840768355</v>
      </c>
      <c r="P74" s="47">
        <f ca="1">IF(M74&gt;0,N74*100/M74,0)</f>
        <v>17.584334600760457</v>
      </c>
    </row>
    <row r="75" spans="1:16" ht="18.75" x14ac:dyDescent="0.25">
      <c r="A75" s="136"/>
      <c r="B75" s="41"/>
      <c r="C75" s="41"/>
      <c r="D75" s="42" t="s">
        <v>20</v>
      </c>
      <c r="E75" s="41"/>
      <c r="F75" s="41"/>
      <c r="G75" s="43"/>
      <c r="H75" s="143" t="s">
        <v>12</v>
      </c>
      <c r="I75" s="144"/>
      <c r="J75" s="144"/>
      <c r="K75" s="145"/>
      <c r="L75" s="47">
        <f ca="1">L76+L77</f>
        <v>791300</v>
      </c>
      <c r="M75" s="47">
        <f ca="1">M76+M77</f>
        <v>657500</v>
      </c>
      <c r="N75" s="47">
        <f ca="1">N76+N77</f>
        <v>115617</v>
      </c>
      <c r="O75" s="47">
        <f ca="1">IF(L75&gt;0,N75*100/L75,0)</f>
        <v>14.611019840768355</v>
      </c>
      <c r="P75" s="47">
        <f ca="1">IF(M75&gt;0,N75*100/M75,0)</f>
        <v>17.584334600760457</v>
      </c>
    </row>
    <row r="76" spans="1:16" ht="18.75" hidden="1" x14ac:dyDescent="0.25">
      <c r="A76" s="136"/>
      <c r="B76" s="41"/>
      <c r="C76" s="41"/>
      <c r="D76" s="41"/>
      <c r="E76" s="279" t="s">
        <v>34</v>
      </c>
      <c r="F76" s="41"/>
      <c r="G76" s="43"/>
      <c r="H76" s="146" t="s">
        <v>12</v>
      </c>
      <c r="I76" s="144"/>
      <c r="J76" s="144"/>
      <c r="K76" s="145"/>
      <c r="L76" s="50">
        <v>0</v>
      </c>
      <c r="M76" s="50">
        <v>0</v>
      </c>
      <c r="N76" s="50">
        <v>0</v>
      </c>
      <c r="O76" s="50">
        <f>IF(L76&gt;0,N76*100/L76,0)</f>
        <v>0</v>
      </c>
      <c r="P76" s="50">
        <f>IF(M76&gt;0,N76*100/M76,0)</f>
        <v>0</v>
      </c>
    </row>
    <row r="77" spans="1:16" ht="18.75" x14ac:dyDescent="0.25">
      <c r="A77" s="136"/>
      <c r="B77" s="41"/>
      <c r="C77" s="41"/>
      <c r="D77" s="41"/>
      <c r="E77" s="254" t="s">
        <v>35</v>
      </c>
      <c r="F77" s="41"/>
      <c r="G77" s="43"/>
      <c r="H77" s="143" t="s">
        <v>12</v>
      </c>
      <c r="I77" s="144"/>
      <c r="J77" s="144"/>
      <c r="K77" s="145"/>
      <c r="L77" s="47">
        <f ca="1">IFERROR(__xludf.DUMMYFUNCTION("IMPORTRANGE(""https://docs.google.com/spreadsheets/d/1-uDff_7J0KD5mKrp0Vvzr7lt3OU09vwQwhkpOPPYv2Y/edit?usp=sharing"",""งบพรบ!AM15"")"),791300)</f>
        <v>791300</v>
      </c>
      <c r="M77" s="47">
        <f ca="1">IFERROR(__xludf.DUMMYFUNCTION("IMPORTRANGE(""https://docs.google.com/spreadsheets/d/1-uDff_7J0KD5mKrp0Vvzr7lt3OU09vwQwhkpOPPYv2Y/edit?usp=sharing"",""งบพรบ!AR15"")"),657500)</f>
        <v>657500</v>
      </c>
      <c r="N77" s="47">
        <f ca="1">IFERROR(__xludf.DUMMYFUNCTION("IMPORTRANGE(""https://docs.google.com/spreadsheets/d/1-uDff_7J0KD5mKrp0Vvzr7lt3OU09vwQwhkpOPPYv2Y/edit?usp=sharing"",""งบพรบ!AT15"")"),115617)</f>
        <v>115617</v>
      </c>
      <c r="O77" s="47">
        <f ca="1">IF(L77&gt;0,N77*100/L77,0)</f>
        <v>14.611019840768355</v>
      </c>
      <c r="P77" s="47">
        <f ca="1">IF(M77&gt;0,N77*100/M77,0)</f>
        <v>17.584334600760457</v>
      </c>
    </row>
    <row r="78" spans="1:16" ht="18.75" x14ac:dyDescent="0.25">
      <c r="A78" s="136"/>
      <c r="B78" s="41"/>
      <c r="C78" s="41"/>
      <c r="D78" s="42" t="s">
        <v>21</v>
      </c>
      <c r="E78" s="41"/>
      <c r="F78" s="41"/>
      <c r="G78" s="43"/>
      <c r="H78" s="147" t="s">
        <v>12</v>
      </c>
      <c r="I78" s="144"/>
      <c r="J78" s="144"/>
      <c r="K78" s="145"/>
      <c r="L78" s="47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</row>
    <row r="79" spans="1:16" ht="18.75" hidden="1" x14ac:dyDescent="0.25">
      <c r="A79" s="136"/>
      <c r="B79" s="41"/>
      <c r="C79" s="41"/>
      <c r="D79" s="41"/>
      <c r="E79" s="279" t="s">
        <v>18</v>
      </c>
      <c r="F79" s="41"/>
      <c r="G79" s="43"/>
      <c r="H79" s="146" t="s">
        <v>12</v>
      </c>
      <c r="I79" s="144"/>
      <c r="J79" s="144"/>
      <c r="K79" s="145"/>
      <c r="L79" s="50">
        <v>0</v>
      </c>
      <c r="M79" s="46"/>
      <c r="N79" s="46"/>
      <c r="O79" s="50">
        <f>IF(L79&gt;0,N79*100/L79,0)</f>
        <v>0</v>
      </c>
      <c r="P79" s="50">
        <f>IF(M79&gt;0,N79*100/M79,0)</f>
        <v>0</v>
      </c>
    </row>
    <row r="80" spans="1:16" ht="18.75" x14ac:dyDescent="0.25">
      <c r="A80" s="136"/>
      <c r="B80" s="41"/>
      <c r="C80" s="41"/>
      <c r="D80" s="41"/>
      <c r="E80" s="254" t="s">
        <v>19</v>
      </c>
      <c r="F80" s="41"/>
      <c r="G80" s="43"/>
      <c r="H80" s="147" t="s">
        <v>12</v>
      </c>
      <c r="I80" s="144"/>
      <c r="J80" s="144"/>
      <c r="K80" s="145"/>
      <c r="L80" s="47">
        <f ca="1">IFERROR(__xludf.DUMMYFUNCTION("IMPORTRANGE(""https://docs.google.com/spreadsheets/d/1-uDff_7J0KD5mKrp0Vvzr7lt3OU09vwQwhkpOPPYv2Y/edit?usp=sharing"",""งบพรบ!AP15"")"),0)</f>
        <v>0</v>
      </c>
      <c r="M80" s="47">
        <f ca="1">IFERROR(__xludf.DUMMYFUNCTION("IMPORTRANGE(""https://docs.google.com/spreadsheets/d/1-uDff_7J0KD5mKrp0Vvzr7lt3OU09vwQwhkpOPPYv2Y/edit?usp=sharing"",""งบพรบ!AS15"")"),0)</f>
        <v>0</v>
      </c>
      <c r="N80" s="47">
        <f ca="1">IFERROR(__xludf.DUMMYFUNCTION("IMPORTRANGE(""https://docs.google.com/spreadsheets/d/1-uDff_7J0KD5mKrp0Vvzr7lt3OU09vwQwhkpOPPYv2Y/edit?usp=sharing"",""งบพรบ!AU15"")"),0)</f>
        <v>0</v>
      </c>
      <c r="O80" s="47">
        <f ca="1">IF(L80&gt;0,N80*100/L80,0)</f>
        <v>0</v>
      </c>
      <c r="P80" s="47">
        <f ca="1">IF(M80&gt;0,N80*100/M80,0)</f>
        <v>0</v>
      </c>
    </row>
    <row r="81" spans="1:16" ht="19.5" x14ac:dyDescent="0.3">
      <c r="A81" s="148"/>
      <c r="B81" s="149"/>
      <c r="C81" s="197" t="s">
        <v>16</v>
      </c>
      <c r="D81" s="395" t="s">
        <v>36</v>
      </c>
      <c r="E81" s="151"/>
      <c r="F81" s="151"/>
      <c r="G81" s="152"/>
      <c r="H81" s="153"/>
      <c r="I81" s="144"/>
      <c r="J81" s="144"/>
      <c r="K81" s="145"/>
      <c r="L81" s="145"/>
      <c r="M81" s="145"/>
      <c r="N81" s="145"/>
      <c r="O81" s="145"/>
      <c r="P81" s="145"/>
    </row>
    <row r="82" spans="1:16" ht="19.5" x14ac:dyDescent="0.3">
      <c r="A82" s="148"/>
      <c r="B82" s="149"/>
      <c r="C82" s="149"/>
      <c r="D82" s="154" t="s">
        <v>37</v>
      </c>
      <c r="E82" s="155"/>
      <c r="F82" s="155"/>
      <c r="G82" s="153"/>
      <c r="H82" s="156" t="s">
        <v>32</v>
      </c>
      <c r="I82" s="157">
        <f ca="1">I84+I86+I88</f>
        <v>1</v>
      </c>
      <c r="J82" s="157">
        <f>J84+J86+J88</f>
        <v>0</v>
      </c>
      <c r="K82" s="158">
        <f ca="1">IF(I82&gt;0,J82*100/I82,0)</f>
        <v>0</v>
      </c>
      <c r="L82" s="145"/>
      <c r="M82" s="145"/>
      <c r="N82" s="145"/>
      <c r="O82" s="145"/>
      <c r="P82" s="145"/>
    </row>
    <row r="83" spans="1:16" ht="19.5" x14ac:dyDescent="0.3">
      <c r="A83" s="148"/>
      <c r="B83" s="149"/>
      <c r="C83" s="149"/>
      <c r="D83" s="149"/>
      <c r="E83" s="155"/>
      <c r="F83" s="155"/>
      <c r="G83" s="153"/>
      <c r="H83" s="156" t="s">
        <v>33</v>
      </c>
      <c r="I83" s="157">
        <f ca="1">I85+I87+I89</f>
        <v>60</v>
      </c>
      <c r="J83" s="157">
        <f>J85+J87+J89</f>
        <v>0</v>
      </c>
      <c r="K83" s="158">
        <f ca="1">IF(I83&gt;0,J83*100/I83,0)</f>
        <v>0</v>
      </c>
      <c r="L83" s="145"/>
      <c r="M83" s="145"/>
      <c r="N83" s="145"/>
      <c r="O83" s="145"/>
      <c r="P83" s="145"/>
    </row>
    <row r="84" spans="1:16" ht="18.75" x14ac:dyDescent="0.25">
      <c r="A84" s="148"/>
      <c r="B84" s="149"/>
      <c r="C84" s="149"/>
      <c r="D84" s="149"/>
      <c r="E84" s="159" t="s">
        <v>38</v>
      </c>
      <c r="F84" s="155"/>
      <c r="G84" s="153"/>
      <c r="H84" s="251" t="s">
        <v>32</v>
      </c>
      <c r="I84" s="161">
        <f ca="1">IFERROR(__xludf.DUMMYFUNCTION("IMPORTRANGE(""https://docs.google.com/spreadsheets/d/1eHaY18a8A9IcSdp1K8H6x8fbOy06t2VsZHhMHf-1x7Y/edit?usp=sharing"",""แผน!H15"")"),0)</f>
        <v>0</v>
      </c>
      <c r="J84" s="250">
        <v>0</v>
      </c>
      <c r="K84" s="163">
        <f ca="1">IF(I84&gt;0,J84*100/I84,0)</f>
        <v>0</v>
      </c>
      <c r="L84" s="145"/>
      <c r="M84" s="145"/>
      <c r="N84" s="145"/>
      <c r="O84" s="145"/>
      <c r="P84" s="145"/>
    </row>
    <row r="85" spans="1:16" ht="18.75" x14ac:dyDescent="0.25">
      <c r="A85" s="148"/>
      <c r="B85" s="149"/>
      <c r="C85" s="149"/>
      <c r="D85" s="149"/>
      <c r="E85" s="155"/>
      <c r="F85" s="155"/>
      <c r="G85" s="153"/>
      <c r="H85" s="251" t="s">
        <v>33</v>
      </c>
      <c r="I85" s="161">
        <f ca="1">IFERROR(__xludf.DUMMYFUNCTION("IMPORTRANGE(""https://docs.google.com/spreadsheets/d/1eHaY18a8A9IcSdp1K8H6x8fbOy06t2VsZHhMHf-1x7Y/edit?usp=sharing"",""แผน!I15"")"),0)</f>
        <v>0</v>
      </c>
      <c r="J85" s="250">
        <v>0</v>
      </c>
      <c r="K85" s="163">
        <f ca="1">IF(I85&gt;0,J85*100/I85,0)</f>
        <v>0</v>
      </c>
      <c r="L85" s="145"/>
      <c r="M85" s="145"/>
      <c r="N85" s="145"/>
      <c r="O85" s="145"/>
      <c r="P85" s="145"/>
    </row>
    <row r="86" spans="1:16" ht="18.75" x14ac:dyDescent="0.25">
      <c r="A86" s="148"/>
      <c r="B86" s="149"/>
      <c r="C86" s="149"/>
      <c r="D86" s="149"/>
      <c r="E86" s="159" t="s">
        <v>39</v>
      </c>
      <c r="F86" s="155"/>
      <c r="G86" s="153"/>
      <c r="H86" s="251" t="s">
        <v>32</v>
      </c>
      <c r="I86" s="161">
        <f ca="1">IFERROR(__xludf.DUMMYFUNCTION("IMPORTRANGE(""https://docs.google.com/spreadsheets/d/1eHaY18a8A9IcSdp1K8H6x8fbOy06t2VsZHhMHf-1x7Y/edit?usp=sharing"",""แผน!F15"")"),0)</f>
        <v>0</v>
      </c>
      <c r="J86" s="250">
        <v>0</v>
      </c>
      <c r="K86" s="163">
        <f ca="1">IF(I86&gt;0,J86*100/I86,0)</f>
        <v>0</v>
      </c>
      <c r="L86" s="145"/>
      <c r="M86" s="145"/>
      <c r="N86" s="145"/>
      <c r="O86" s="145"/>
      <c r="P86" s="145"/>
    </row>
    <row r="87" spans="1:16" ht="18.75" x14ac:dyDescent="0.25">
      <c r="A87" s="148"/>
      <c r="B87" s="149"/>
      <c r="C87" s="149"/>
      <c r="D87" s="149"/>
      <c r="E87" s="155"/>
      <c r="F87" s="155"/>
      <c r="G87" s="153"/>
      <c r="H87" s="251" t="s">
        <v>33</v>
      </c>
      <c r="I87" s="161">
        <f ca="1">IFERROR(__xludf.DUMMYFUNCTION("IMPORTRANGE(""https://docs.google.com/spreadsheets/d/1eHaY18a8A9IcSdp1K8H6x8fbOy06t2VsZHhMHf-1x7Y/edit?usp=sharing"",""แผน!G15"")"),0)</f>
        <v>0</v>
      </c>
      <c r="J87" s="250">
        <v>0</v>
      </c>
      <c r="K87" s="163">
        <f ca="1">IF(I87&gt;0,J87*100/I87,0)</f>
        <v>0</v>
      </c>
      <c r="L87" s="145"/>
      <c r="M87" s="145"/>
      <c r="N87" s="145"/>
      <c r="O87" s="145"/>
      <c r="P87" s="145"/>
    </row>
    <row r="88" spans="1:16" ht="18.75" x14ac:dyDescent="0.25">
      <c r="A88" s="148"/>
      <c r="B88" s="149"/>
      <c r="C88" s="149"/>
      <c r="D88" s="149"/>
      <c r="E88" s="159" t="s">
        <v>40</v>
      </c>
      <c r="F88" s="155"/>
      <c r="G88" s="153"/>
      <c r="H88" s="251" t="s">
        <v>32</v>
      </c>
      <c r="I88" s="161">
        <f ca="1">IFERROR(__xludf.DUMMYFUNCTION("IMPORTRANGE(""https://docs.google.com/spreadsheets/d/1eHaY18a8A9IcSdp1K8H6x8fbOy06t2VsZHhMHf-1x7Y/edit?usp=sharing"",""แผน!D15"")"),1)</f>
        <v>1</v>
      </c>
      <c r="J88" s="250">
        <v>0</v>
      </c>
      <c r="K88" s="163">
        <f ca="1">IF(I88&gt;0,J88*100/I88,0)</f>
        <v>0</v>
      </c>
      <c r="L88" s="145"/>
      <c r="M88" s="145"/>
      <c r="N88" s="145"/>
      <c r="O88" s="145"/>
      <c r="P88" s="145"/>
    </row>
    <row r="89" spans="1:16" ht="18.75" x14ac:dyDescent="0.25">
      <c r="A89" s="148"/>
      <c r="B89" s="149"/>
      <c r="C89" s="149"/>
      <c r="D89" s="149"/>
      <c r="E89" s="155"/>
      <c r="F89" s="155"/>
      <c r="G89" s="153"/>
      <c r="H89" s="251" t="s">
        <v>33</v>
      </c>
      <c r="I89" s="161">
        <f ca="1">IFERROR(__xludf.DUMMYFUNCTION("IMPORTRANGE(""https://docs.google.com/spreadsheets/d/1eHaY18a8A9IcSdp1K8H6x8fbOy06t2VsZHhMHf-1x7Y/edit?usp=sharing"",""แผน!E15"")"),60)</f>
        <v>60</v>
      </c>
      <c r="J89" s="250">
        <v>0</v>
      </c>
      <c r="K89" s="163">
        <f ca="1">IF(I89&gt;0,J89*100/I89,0)</f>
        <v>0</v>
      </c>
      <c r="L89" s="145"/>
      <c r="M89" s="145"/>
      <c r="N89" s="145"/>
      <c r="O89" s="145"/>
      <c r="P89" s="145"/>
    </row>
    <row r="90" spans="1:16" ht="18.75" x14ac:dyDescent="0.25">
      <c r="A90" s="148"/>
      <c r="B90" s="149"/>
      <c r="C90" s="149"/>
      <c r="D90" s="154" t="s">
        <v>41</v>
      </c>
      <c r="E90" s="155"/>
      <c r="F90" s="155"/>
      <c r="G90" s="153"/>
      <c r="H90" s="164" t="s">
        <v>32</v>
      </c>
      <c r="I90" s="161">
        <f ca="1">IFERROR(__xludf.DUMMYFUNCTION("IMPORTRANGE(""https://docs.google.com/spreadsheets/d/1eHaY18a8A9IcSdp1K8H6x8fbOy06t2VsZHhMHf-1x7Y/edit?usp=sharing"",""แผน!J15"")"),1)</f>
        <v>1</v>
      </c>
      <c r="J90" s="250">
        <v>0</v>
      </c>
      <c r="K90" s="163">
        <f ca="1">IF(I90&gt;0,J90*100/I90,0)</f>
        <v>0</v>
      </c>
      <c r="L90" s="145"/>
      <c r="M90" s="145"/>
      <c r="N90" s="145"/>
      <c r="O90" s="145"/>
      <c r="P90" s="145"/>
    </row>
    <row r="91" spans="1:16" ht="19.5" hidden="1" x14ac:dyDescent="0.3">
      <c r="A91" s="125" t="s">
        <v>42</v>
      </c>
      <c r="B91" s="126"/>
      <c r="C91" s="127"/>
      <c r="D91" s="126"/>
      <c r="E91" s="126"/>
      <c r="F91" s="126"/>
      <c r="G91" s="128"/>
      <c r="H91" s="128"/>
      <c r="I91" s="129"/>
      <c r="J91" s="129"/>
      <c r="K91" s="130"/>
      <c r="L91" s="130"/>
      <c r="M91" s="130"/>
      <c r="N91" s="130"/>
      <c r="O91" s="130"/>
      <c r="P91" s="130"/>
    </row>
    <row r="92" spans="1:16" ht="19.5" hidden="1" x14ac:dyDescent="0.3">
      <c r="A92" s="131"/>
      <c r="B92" s="132" t="s">
        <v>43</v>
      </c>
      <c r="C92" s="26"/>
      <c r="D92" s="133"/>
      <c r="E92" s="26"/>
      <c r="F92" s="26"/>
      <c r="G92" s="29"/>
      <c r="H92" s="134" t="s">
        <v>44</v>
      </c>
      <c r="I92" s="135">
        <f ca="1">I108</f>
        <v>0</v>
      </c>
      <c r="J92" s="135">
        <f>J108</f>
        <v>0</v>
      </c>
      <c r="K92" s="33">
        <f ca="1">IF(I92&gt;0,J92*100/I92,0)</f>
        <v>0</v>
      </c>
      <c r="L92" s="32"/>
      <c r="M92" s="32"/>
      <c r="N92" s="32"/>
      <c r="O92" s="32"/>
      <c r="P92" s="32"/>
    </row>
    <row r="93" spans="1:16" ht="19.5" hidden="1" x14ac:dyDescent="0.3">
      <c r="A93" s="131"/>
      <c r="B93" s="26"/>
      <c r="C93" s="26"/>
      <c r="D93" s="133"/>
      <c r="E93" s="26"/>
      <c r="F93" s="26"/>
      <c r="G93" s="29"/>
      <c r="H93" s="134" t="s">
        <v>33</v>
      </c>
      <c r="I93" s="135">
        <f ca="1">I109</f>
        <v>0</v>
      </c>
      <c r="J93" s="135">
        <f>J109</f>
        <v>0</v>
      </c>
      <c r="K93" s="33">
        <f ca="1">IF(I93&gt;0,J93*100/I93,0)</f>
        <v>0</v>
      </c>
      <c r="L93" s="32"/>
      <c r="M93" s="32"/>
      <c r="N93" s="32"/>
      <c r="O93" s="32"/>
      <c r="P93" s="32"/>
    </row>
    <row r="94" spans="1:16" ht="19.5" hidden="1" x14ac:dyDescent="0.3">
      <c r="A94" s="136"/>
      <c r="B94" s="41"/>
      <c r="C94" s="197" t="s">
        <v>16</v>
      </c>
      <c r="D94" s="397" t="s">
        <v>17</v>
      </c>
      <c r="E94" s="41"/>
      <c r="F94" s="41"/>
      <c r="G94" s="43"/>
      <c r="H94" s="139" t="s">
        <v>12</v>
      </c>
      <c r="I94" s="45"/>
      <c r="J94" s="45"/>
      <c r="K94" s="46"/>
      <c r="L94" s="140">
        <f ca="1">L95+L96</f>
        <v>0</v>
      </c>
      <c r="M94" s="140">
        <f ca="1">M95+M96</f>
        <v>0</v>
      </c>
      <c r="N94" s="140">
        <f ca="1">N95+N96</f>
        <v>0</v>
      </c>
      <c r="O94" s="140">
        <f ca="1">IF(L94&gt;0,N94*100/L94,0)</f>
        <v>0</v>
      </c>
      <c r="P94" s="140">
        <f ca="1">IF(M94&gt;0,N94*100/M94,0)</f>
        <v>0</v>
      </c>
    </row>
    <row r="95" spans="1:16" ht="18.75" hidden="1" x14ac:dyDescent="0.25">
      <c r="A95" s="136"/>
      <c r="B95" s="41"/>
      <c r="C95" s="41"/>
      <c r="D95" s="41"/>
      <c r="E95" s="279" t="s">
        <v>18</v>
      </c>
      <c r="F95" s="41"/>
      <c r="G95" s="43"/>
      <c r="H95" s="141" t="s">
        <v>12</v>
      </c>
      <c r="I95" s="45"/>
      <c r="J95" s="45"/>
      <c r="K95" s="46"/>
      <c r="L95" s="50">
        <f>L98+L101</f>
        <v>0</v>
      </c>
      <c r="M95" s="50">
        <f>M98+M101</f>
        <v>0</v>
      </c>
      <c r="N95" s="50">
        <f>N98+N101</f>
        <v>0</v>
      </c>
      <c r="O95" s="50">
        <f>IF(L95&gt;0,N95*100/L95,0)</f>
        <v>0</v>
      </c>
      <c r="P95" s="50">
        <f>IF(M95&gt;0,N95*100/M95,0)</f>
        <v>0</v>
      </c>
    </row>
    <row r="96" spans="1:16" ht="18.75" hidden="1" x14ac:dyDescent="0.25">
      <c r="A96" s="136"/>
      <c r="B96" s="41"/>
      <c r="C96" s="41"/>
      <c r="D96" s="41"/>
      <c r="E96" s="254" t="s">
        <v>19</v>
      </c>
      <c r="F96" s="41"/>
      <c r="G96" s="43"/>
      <c r="H96" s="142" t="s">
        <v>12</v>
      </c>
      <c r="I96" s="45"/>
      <c r="J96" s="45"/>
      <c r="K96" s="46"/>
      <c r="L96" s="47">
        <f ca="1">L99+L102</f>
        <v>0</v>
      </c>
      <c r="M96" s="47">
        <f ca="1">M99+M102</f>
        <v>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</row>
    <row r="97" spans="1:16" ht="18.75" hidden="1" x14ac:dyDescent="0.25">
      <c r="A97" s="136"/>
      <c r="B97" s="41"/>
      <c r="C97" s="41"/>
      <c r="D97" s="42" t="s">
        <v>20</v>
      </c>
      <c r="E97" s="41"/>
      <c r="F97" s="41"/>
      <c r="G97" s="43"/>
      <c r="H97" s="143" t="s">
        <v>12</v>
      </c>
      <c r="I97" s="144"/>
      <c r="J97" s="144"/>
      <c r="K97" s="145"/>
      <c r="L97" s="47">
        <f ca="1">L98+L99</f>
        <v>0</v>
      </c>
      <c r="M97" s="47">
        <f ca="1">M98+M99</f>
        <v>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</row>
    <row r="98" spans="1:16" ht="18.75" hidden="1" x14ac:dyDescent="0.25">
      <c r="A98" s="136"/>
      <c r="B98" s="41"/>
      <c r="C98" s="41"/>
      <c r="D98" s="41"/>
      <c r="E98" s="279" t="s">
        <v>34</v>
      </c>
      <c r="F98" s="41"/>
      <c r="G98" s="43"/>
      <c r="H98" s="146" t="s">
        <v>12</v>
      </c>
      <c r="I98" s="144"/>
      <c r="J98" s="144"/>
      <c r="K98" s="145"/>
      <c r="L98" s="50">
        <v>0</v>
      </c>
      <c r="M98" s="50">
        <v>0</v>
      </c>
      <c r="N98" s="50">
        <v>0</v>
      </c>
      <c r="O98" s="50">
        <f>IF(L98&gt;0,N98*100/L98,0)</f>
        <v>0</v>
      </c>
      <c r="P98" s="50">
        <f>IF(M98&gt;0,N98*100/M98,0)</f>
        <v>0</v>
      </c>
    </row>
    <row r="99" spans="1:16" ht="18.75" hidden="1" x14ac:dyDescent="0.25">
      <c r="A99" s="136"/>
      <c r="B99" s="41"/>
      <c r="C99" s="41"/>
      <c r="D99" s="41"/>
      <c r="E99" s="254" t="s">
        <v>35</v>
      </c>
      <c r="F99" s="41"/>
      <c r="G99" s="43"/>
      <c r="H99" s="143" t="s">
        <v>12</v>
      </c>
      <c r="I99" s="144"/>
      <c r="J99" s="144"/>
      <c r="K99" s="145"/>
      <c r="L99" s="47">
        <f ca="1">IFERROR(__xludf.DUMMYFUNCTION("IMPORTRANGE(""https://docs.google.com/spreadsheets/d/1-uDff_7J0KD5mKrp0Vvzr7lt3OU09vwQwhkpOPPYv2Y/edit?usp=sharing"",""งบพรบ!AW15"")"),0)</f>
        <v>0</v>
      </c>
      <c r="M99" s="47">
        <f ca="1">IFERROR(__xludf.DUMMYFUNCTION("IMPORTRANGE(""https://docs.google.com/spreadsheets/d/1-uDff_7J0KD5mKrp0Vvzr7lt3OU09vwQwhkpOPPYv2Y/edit?usp=sharing"",""งบพรบ!BB15"")"),0)</f>
        <v>0</v>
      </c>
      <c r="N99" s="47">
        <f ca="1">IFERROR(__xludf.DUMMYFUNCTION("IMPORTRANGE(""https://docs.google.com/spreadsheets/d/1-uDff_7J0KD5mKrp0Vvzr7lt3OU09vwQwhkpOPPYv2Y/edit?usp=sharing"",""งบพรบ!BD15"")"),0)</f>
        <v>0</v>
      </c>
      <c r="O99" s="47">
        <f ca="1">IF(L99&gt;0,N99*100/L99,0)</f>
        <v>0</v>
      </c>
      <c r="P99" s="47">
        <f ca="1">IF(M99&gt;0,N99*100/M99,0)</f>
        <v>0</v>
      </c>
    </row>
    <row r="100" spans="1:16" ht="18.75" hidden="1" x14ac:dyDescent="0.25">
      <c r="A100" s="136"/>
      <c r="B100" s="41"/>
      <c r="C100" s="41"/>
      <c r="D100" s="42" t="s">
        <v>21</v>
      </c>
      <c r="E100" s="41"/>
      <c r="F100" s="41"/>
      <c r="G100" s="43"/>
      <c r="H100" s="147" t="s">
        <v>12</v>
      </c>
      <c r="I100" s="144"/>
      <c r="J100" s="144"/>
      <c r="K100" s="145"/>
      <c r="L100" s="47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</row>
    <row r="101" spans="1:16" ht="18.75" hidden="1" x14ac:dyDescent="0.25">
      <c r="A101" s="136"/>
      <c r="B101" s="41"/>
      <c r="C101" s="41"/>
      <c r="D101" s="41"/>
      <c r="E101" s="279" t="s">
        <v>18</v>
      </c>
      <c r="F101" s="41"/>
      <c r="G101" s="43"/>
      <c r="H101" s="146" t="s">
        <v>12</v>
      </c>
      <c r="I101" s="144"/>
      <c r="J101" s="144"/>
      <c r="K101" s="145"/>
      <c r="L101" s="50">
        <v>0</v>
      </c>
      <c r="M101" s="50">
        <v>0</v>
      </c>
      <c r="N101" s="50">
        <v>0</v>
      </c>
      <c r="O101" s="50">
        <f>IF(L101&gt;0,N101*100/L101,0)</f>
        <v>0</v>
      </c>
      <c r="P101" s="50">
        <f>IF(M101&gt;0,N101*100/M101,0)</f>
        <v>0</v>
      </c>
    </row>
    <row r="102" spans="1:16" ht="18.75" hidden="1" x14ac:dyDescent="0.25">
      <c r="A102" s="136"/>
      <c r="B102" s="41"/>
      <c r="C102" s="41"/>
      <c r="D102" s="41"/>
      <c r="E102" s="254" t="s">
        <v>19</v>
      </c>
      <c r="F102" s="41"/>
      <c r="G102" s="43"/>
      <c r="H102" s="147" t="s">
        <v>12</v>
      </c>
      <c r="I102" s="144"/>
      <c r="J102" s="144"/>
      <c r="K102" s="145"/>
      <c r="L102" s="47">
        <f ca="1">IFERROR(__xludf.DUMMYFUNCTION("IMPORTRANGE(""https://docs.google.com/spreadsheets/d/1-uDff_7J0KD5mKrp0Vvzr7lt3OU09vwQwhkpOPPYv2Y/edit?usp=sharing"",""งบพรบ!AZ15"")"),0)</f>
        <v>0</v>
      </c>
      <c r="M102" s="47">
        <f ca="1">IFERROR(__xludf.DUMMYFUNCTION("IMPORTRANGE(""https://docs.google.com/spreadsheets/d/1-uDff_7J0KD5mKrp0Vvzr7lt3OU09vwQwhkpOPPYv2Y/edit?usp=sharing"",""งบพรบ!BC15"")"),0)</f>
        <v>0</v>
      </c>
      <c r="N102" s="47">
        <f ca="1">IFERROR(__xludf.DUMMYFUNCTION("IMPORTRANGE(""https://docs.google.com/spreadsheets/d/1-uDff_7J0KD5mKrp0Vvzr7lt3OU09vwQwhkpOPPYv2Y/edit?usp=sharing"",""งบพรบ!BE15"")"),0)</f>
        <v>0</v>
      </c>
      <c r="O102" s="47">
        <f ca="1">IF(L102&gt;0,N102*100/L102,0)</f>
        <v>0</v>
      </c>
      <c r="P102" s="47">
        <f ca="1">IF(M102&gt;0,N102*100/M102,0)</f>
        <v>0</v>
      </c>
    </row>
    <row r="103" spans="1:16" ht="19.5" hidden="1" x14ac:dyDescent="0.3">
      <c r="A103" s="148"/>
      <c r="B103" s="149"/>
      <c r="C103" s="197" t="s">
        <v>16</v>
      </c>
      <c r="D103" s="395" t="s">
        <v>36</v>
      </c>
      <c r="E103" s="151"/>
      <c r="F103" s="151"/>
      <c r="G103" s="152"/>
      <c r="H103" s="153"/>
      <c r="I103" s="144"/>
      <c r="J103" s="45"/>
      <c r="K103" s="46"/>
      <c r="L103" s="46"/>
      <c r="M103" s="46"/>
      <c r="N103" s="46"/>
      <c r="O103" s="145"/>
      <c r="P103" s="145"/>
    </row>
    <row r="104" spans="1:16" ht="12.75" hidden="1" x14ac:dyDescent="0.2">
      <c r="A104" s="165"/>
      <c r="B104" s="166"/>
      <c r="C104" s="166"/>
      <c r="D104" s="16"/>
      <c r="E104" s="16"/>
      <c r="F104" s="16"/>
      <c r="G104" s="17"/>
      <c r="H104" s="17"/>
      <c r="I104" s="18"/>
      <c r="J104" s="18"/>
      <c r="K104" s="19"/>
      <c r="L104" s="19"/>
      <c r="M104" s="19"/>
      <c r="N104" s="19"/>
      <c r="O104" s="19"/>
      <c r="P104" s="19"/>
    </row>
    <row r="105" spans="1:16" ht="12.75" hidden="1" x14ac:dyDescent="0.2">
      <c r="A105" s="165"/>
      <c r="B105" s="166"/>
      <c r="C105" s="166"/>
      <c r="D105" s="16"/>
      <c r="E105" s="16"/>
      <c r="F105" s="16"/>
      <c r="G105" s="17"/>
      <c r="H105" s="17"/>
      <c r="I105" s="18"/>
      <c r="J105" s="18"/>
      <c r="K105" s="19"/>
      <c r="L105" s="19"/>
      <c r="M105" s="19"/>
      <c r="N105" s="19"/>
      <c r="O105" s="19"/>
      <c r="P105" s="19"/>
    </row>
    <row r="106" spans="1:16" ht="12.75" hidden="1" x14ac:dyDescent="0.2">
      <c r="A106" s="165"/>
      <c r="B106" s="166"/>
      <c r="C106" s="166"/>
      <c r="D106" s="166"/>
      <c r="E106" s="16"/>
      <c r="F106" s="16"/>
      <c r="G106" s="17"/>
      <c r="H106" s="17"/>
      <c r="I106" s="18"/>
      <c r="J106" s="18"/>
      <c r="K106" s="19"/>
      <c r="L106" s="19"/>
      <c r="M106" s="19"/>
      <c r="N106" s="19"/>
      <c r="O106" s="19"/>
      <c r="P106" s="19"/>
    </row>
    <row r="107" spans="1:16" ht="19.5" hidden="1" x14ac:dyDescent="0.3">
      <c r="A107" s="148"/>
      <c r="B107" s="149"/>
      <c r="C107" s="149"/>
      <c r="D107" s="167" t="s">
        <v>45</v>
      </c>
      <c r="E107" s="168"/>
      <c r="F107" s="155"/>
      <c r="G107" s="153"/>
      <c r="H107" s="43"/>
      <c r="I107" s="45"/>
      <c r="J107" s="45"/>
      <c r="K107" s="46"/>
      <c r="L107" s="46"/>
      <c r="M107" s="46"/>
      <c r="N107" s="46"/>
      <c r="O107" s="145"/>
      <c r="P107" s="145"/>
    </row>
    <row r="108" spans="1:16" ht="18.75" hidden="1" x14ac:dyDescent="0.25">
      <c r="A108" s="148"/>
      <c r="B108" s="149"/>
      <c r="C108" s="149"/>
      <c r="D108" s="159" t="s">
        <v>46</v>
      </c>
      <c r="E108" s="155"/>
      <c r="F108" s="155"/>
      <c r="G108" s="153"/>
      <c r="H108" s="44" t="s">
        <v>44</v>
      </c>
      <c r="I108" s="169">
        <f ca="1">IFERROR(__xludf.DUMMYFUNCTION("IMPORTRANGE(""https://docs.google.com/spreadsheets/d/1eHaY18a8A9IcSdp1K8H6x8fbOy06t2VsZHhMHf-1x7Y/edit?usp=sharing"",""แผน!N15"")"),0)</f>
        <v>0</v>
      </c>
      <c r="J108" s="250">
        <v>0</v>
      </c>
      <c r="K108" s="47">
        <f ca="1">IF(I108&gt;0,J108*100/I108,0)</f>
        <v>0</v>
      </c>
      <c r="L108" s="46"/>
      <c r="M108" s="46"/>
      <c r="N108" s="46"/>
      <c r="O108" s="145"/>
      <c r="P108" s="145"/>
    </row>
    <row r="109" spans="1:16" ht="18.75" hidden="1" x14ac:dyDescent="0.25">
      <c r="A109" s="148"/>
      <c r="B109" s="149"/>
      <c r="C109" s="149"/>
      <c r="D109" s="159" t="s">
        <v>47</v>
      </c>
      <c r="E109" s="155"/>
      <c r="F109" s="155"/>
      <c r="G109" s="153"/>
      <c r="H109" s="44" t="s">
        <v>33</v>
      </c>
      <c r="I109" s="169">
        <f ca="1">IFERROR(__xludf.DUMMYFUNCTION("IMPORTRANGE(""https://docs.google.com/spreadsheets/d/1eHaY18a8A9IcSdp1K8H6x8fbOy06t2VsZHhMHf-1x7Y/edit?usp=sharing"",""แผน!O15"")"),0)</f>
        <v>0</v>
      </c>
      <c r="J109" s="250">
        <v>0</v>
      </c>
      <c r="K109" s="47">
        <f ca="1">IF(I109&gt;0,J109*100/I109,0)</f>
        <v>0</v>
      </c>
      <c r="L109" s="46"/>
      <c r="M109" s="46"/>
      <c r="N109" s="46"/>
      <c r="O109" s="145"/>
      <c r="P109" s="145"/>
    </row>
    <row r="110" spans="1:16" ht="12.75" hidden="1" x14ac:dyDescent="0.2">
      <c r="A110" s="165"/>
      <c r="B110" s="166"/>
      <c r="C110" s="166"/>
      <c r="D110" s="16"/>
      <c r="E110" s="16"/>
      <c r="F110" s="16"/>
      <c r="G110" s="17"/>
      <c r="H110" s="17"/>
      <c r="I110" s="18"/>
      <c r="J110" s="18"/>
      <c r="K110" s="19"/>
      <c r="L110" s="19"/>
      <c r="M110" s="19"/>
      <c r="N110" s="19"/>
      <c r="O110" s="19"/>
      <c r="P110" s="19"/>
    </row>
    <row r="111" spans="1:16" ht="12.75" hidden="1" x14ac:dyDescent="0.2">
      <c r="A111" s="165"/>
      <c r="B111" s="166"/>
      <c r="C111" s="166"/>
      <c r="D111" s="16"/>
      <c r="E111" s="16"/>
      <c r="F111" s="16"/>
      <c r="G111" s="17"/>
      <c r="H111" s="17"/>
      <c r="I111" s="18"/>
      <c r="J111" s="18"/>
      <c r="K111" s="19"/>
      <c r="L111" s="19"/>
      <c r="M111" s="19"/>
      <c r="N111" s="19"/>
      <c r="O111" s="19"/>
      <c r="P111" s="19"/>
    </row>
    <row r="112" spans="1:16" ht="12.75" hidden="1" x14ac:dyDescent="0.2">
      <c r="A112" s="165"/>
      <c r="B112" s="166"/>
      <c r="C112" s="166"/>
      <c r="D112" s="16"/>
      <c r="E112" s="16"/>
      <c r="F112" s="16"/>
      <c r="G112" s="17"/>
      <c r="H112" s="17"/>
      <c r="I112" s="18"/>
      <c r="J112" s="18"/>
      <c r="K112" s="19"/>
      <c r="L112" s="19"/>
      <c r="M112" s="19"/>
      <c r="N112" s="19"/>
      <c r="O112" s="19"/>
      <c r="P112" s="19"/>
    </row>
    <row r="113" spans="1:16" ht="12.75" hidden="1" x14ac:dyDescent="0.2">
      <c r="A113" s="165"/>
      <c r="B113" s="166"/>
      <c r="C113" s="166"/>
      <c r="D113" s="16"/>
      <c r="E113" s="16"/>
      <c r="F113" s="16"/>
      <c r="G113" s="17"/>
      <c r="H113" s="17"/>
      <c r="I113" s="18"/>
      <c r="J113" s="18"/>
      <c r="K113" s="19"/>
      <c r="L113" s="19"/>
      <c r="M113" s="19"/>
      <c r="N113" s="19"/>
      <c r="O113" s="19"/>
      <c r="P113" s="19"/>
    </row>
    <row r="114" spans="1:16" ht="12.75" hidden="1" x14ac:dyDescent="0.2">
      <c r="A114" s="165"/>
      <c r="B114" s="166"/>
      <c r="C114" s="166"/>
      <c r="D114" s="16"/>
      <c r="E114" s="16"/>
      <c r="F114" s="16"/>
      <c r="G114" s="17"/>
      <c r="H114" s="17"/>
      <c r="I114" s="18"/>
      <c r="J114" s="18"/>
      <c r="K114" s="19"/>
      <c r="L114" s="19"/>
      <c r="M114" s="19"/>
      <c r="N114" s="19"/>
      <c r="O114" s="19"/>
      <c r="P114" s="19"/>
    </row>
    <row r="115" spans="1:16" ht="12.75" hidden="1" x14ac:dyDescent="0.2">
      <c r="A115" s="165"/>
      <c r="B115" s="166"/>
      <c r="C115" s="166"/>
      <c r="D115" s="16"/>
      <c r="E115" s="16"/>
      <c r="F115" s="16"/>
      <c r="G115" s="17"/>
      <c r="H115" s="17"/>
      <c r="I115" s="18"/>
      <c r="J115" s="18"/>
      <c r="K115" s="19"/>
      <c r="L115" s="19"/>
      <c r="M115" s="19"/>
      <c r="N115" s="19"/>
      <c r="O115" s="19"/>
      <c r="P115" s="19"/>
    </row>
    <row r="116" spans="1:16" ht="12.75" hidden="1" x14ac:dyDescent="0.2">
      <c r="A116" s="165"/>
      <c r="B116" s="166"/>
      <c r="C116" s="166"/>
      <c r="D116" s="16"/>
      <c r="E116" s="16"/>
      <c r="F116" s="16"/>
      <c r="G116" s="17"/>
      <c r="H116" s="17"/>
      <c r="I116" s="18"/>
      <c r="J116" s="18"/>
      <c r="K116" s="19"/>
      <c r="L116" s="19"/>
      <c r="M116" s="19"/>
      <c r="N116" s="19"/>
      <c r="O116" s="19"/>
      <c r="P116" s="19"/>
    </row>
    <row r="117" spans="1:16" ht="18.75" hidden="1" x14ac:dyDescent="0.25">
      <c r="A117" s="148"/>
      <c r="B117" s="149"/>
      <c r="C117" s="149"/>
      <c r="D117" s="159" t="s">
        <v>48</v>
      </c>
      <c r="E117" s="155"/>
      <c r="F117" s="155"/>
      <c r="G117" s="153"/>
      <c r="H117" s="251" t="s">
        <v>33</v>
      </c>
      <c r="I117" s="161">
        <f ca="1">IFERROR(__xludf.DUMMYFUNCTION("IMPORTRANGE(""https://docs.google.com/spreadsheets/d/1eHaY18a8A9IcSdp1K8H6x8fbOy06t2VsZHhMHf-1x7Y/edit?usp=sharing"",""แผน!R15"")"),0)</f>
        <v>0</v>
      </c>
      <c r="J117" s="250">
        <v>0</v>
      </c>
      <c r="K117" s="47">
        <f ca="1">IF(I117&gt;0,J117*100/I117,0)</f>
        <v>0</v>
      </c>
      <c r="L117" s="46"/>
      <c r="M117" s="46"/>
      <c r="N117" s="46"/>
      <c r="O117" s="145"/>
      <c r="P117" s="145"/>
    </row>
    <row r="118" spans="1:16" ht="12.75" hidden="1" x14ac:dyDescent="0.2">
      <c r="A118" s="165"/>
      <c r="B118" s="166"/>
      <c r="C118" s="166"/>
      <c r="D118" s="166"/>
      <c r="E118" s="16"/>
      <c r="F118" s="16"/>
      <c r="G118" s="17"/>
      <c r="H118" s="17"/>
      <c r="I118" s="18"/>
      <c r="J118" s="18"/>
      <c r="K118" s="19"/>
      <c r="L118" s="19"/>
      <c r="M118" s="19"/>
      <c r="N118" s="19"/>
      <c r="O118" s="19"/>
      <c r="P118" s="19"/>
    </row>
    <row r="119" spans="1:16" ht="12.75" hidden="1" x14ac:dyDescent="0.2">
      <c r="A119" s="165"/>
      <c r="B119" s="166"/>
      <c r="C119" s="166"/>
      <c r="D119" s="166"/>
      <c r="E119" s="16"/>
      <c r="F119" s="16"/>
      <c r="G119" s="17"/>
      <c r="H119" s="17"/>
      <c r="I119" s="18"/>
      <c r="J119" s="18"/>
      <c r="K119" s="19"/>
      <c r="L119" s="19"/>
      <c r="M119" s="19"/>
      <c r="N119" s="19"/>
      <c r="O119" s="19"/>
      <c r="P119" s="19"/>
    </row>
    <row r="120" spans="1:16" ht="12.75" hidden="1" x14ac:dyDescent="0.2">
      <c r="A120" s="165"/>
      <c r="B120" s="166"/>
      <c r="C120" s="166"/>
      <c r="D120" s="166"/>
      <c r="E120" s="16"/>
      <c r="F120" s="16"/>
      <c r="G120" s="17"/>
      <c r="H120" s="17"/>
      <c r="I120" s="18"/>
      <c r="J120" s="18"/>
      <c r="K120" s="19"/>
      <c r="L120" s="19"/>
      <c r="M120" s="19"/>
      <c r="N120" s="19"/>
      <c r="O120" s="19"/>
      <c r="P120" s="19"/>
    </row>
    <row r="121" spans="1:16" ht="12.75" hidden="1" x14ac:dyDescent="0.2">
      <c r="A121" s="165"/>
      <c r="B121" s="166"/>
      <c r="C121" s="166"/>
      <c r="D121" s="166"/>
      <c r="E121" s="16"/>
      <c r="F121" s="16"/>
      <c r="G121" s="17"/>
      <c r="H121" s="17"/>
      <c r="I121" s="18"/>
      <c r="J121" s="18"/>
      <c r="K121" s="19"/>
      <c r="L121" s="19"/>
      <c r="M121" s="19"/>
      <c r="N121" s="19"/>
      <c r="O121" s="19"/>
      <c r="P121" s="19"/>
    </row>
    <row r="122" spans="1:16" ht="12.75" hidden="1" x14ac:dyDescent="0.2">
      <c r="A122" s="165"/>
      <c r="B122" s="166"/>
      <c r="C122" s="166"/>
      <c r="D122" s="166"/>
      <c r="E122" s="16"/>
      <c r="F122" s="16"/>
      <c r="G122" s="17"/>
      <c r="H122" s="17"/>
      <c r="I122" s="18"/>
      <c r="J122" s="18"/>
      <c r="K122" s="19"/>
      <c r="L122" s="19"/>
      <c r="M122" s="19"/>
      <c r="N122" s="19"/>
      <c r="O122" s="19"/>
      <c r="P122" s="19"/>
    </row>
    <row r="123" spans="1:16" ht="19.5" hidden="1" x14ac:dyDescent="0.3">
      <c r="A123" s="170" t="s">
        <v>49</v>
      </c>
      <c r="B123" s="16"/>
      <c r="C123" s="171"/>
      <c r="D123" s="16"/>
      <c r="E123" s="16"/>
      <c r="F123" s="16"/>
      <c r="G123" s="16"/>
      <c r="H123" s="16"/>
      <c r="I123" s="172"/>
      <c r="J123" s="172"/>
      <c r="K123" s="173"/>
      <c r="L123" s="19"/>
      <c r="M123" s="19"/>
      <c r="N123" s="19"/>
      <c r="O123" s="19"/>
      <c r="P123" s="19"/>
    </row>
    <row r="124" spans="1:16" ht="19.5" hidden="1" x14ac:dyDescent="0.3">
      <c r="A124" s="174"/>
      <c r="B124" s="178" t="s">
        <v>50</v>
      </c>
      <c r="C124" s="171"/>
      <c r="D124" s="166"/>
      <c r="E124" s="16"/>
      <c r="F124" s="16"/>
      <c r="G124" s="17"/>
      <c r="H124" s="17"/>
      <c r="I124" s="176">
        <v>0</v>
      </c>
      <c r="J124" s="176">
        <v>0</v>
      </c>
      <c r="K124" s="177">
        <v>0</v>
      </c>
      <c r="L124" s="19"/>
      <c r="M124" s="19"/>
      <c r="N124" s="19"/>
      <c r="O124" s="19"/>
      <c r="P124" s="19"/>
    </row>
    <row r="125" spans="1:16" ht="19.5" hidden="1" x14ac:dyDescent="0.3">
      <c r="A125" s="174"/>
      <c r="B125" s="16"/>
      <c r="C125" s="178" t="s">
        <v>16</v>
      </c>
      <c r="D125" s="402" t="s">
        <v>17</v>
      </c>
      <c r="E125" s="16"/>
      <c r="F125" s="16"/>
      <c r="G125" s="17"/>
      <c r="H125" s="180" t="s">
        <v>12</v>
      </c>
      <c r="I125" s="18"/>
      <c r="J125" s="18"/>
      <c r="K125" s="19"/>
      <c r="L125" s="181">
        <f ca="1">L126+L127</f>
        <v>0</v>
      </c>
      <c r="M125" s="181">
        <f ca="1">M126+M127</f>
        <v>0</v>
      </c>
      <c r="N125" s="181">
        <f ca="1">N126+N127</f>
        <v>0</v>
      </c>
      <c r="O125" s="181">
        <f ca="1">IF(L125&gt;0,N125*100/L125,0)</f>
        <v>0</v>
      </c>
      <c r="P125" s="181">
        <f ca="1">IF(M125&gt;0,N125*100/M125,0)</f>
        <v>0</v>
      </c>
    </row>
    <row r="126" spans="1:16" ht="18.75" hidden="1" x14ac:dyDescent="0.25">
      <c r="A126" s="174"/>
      <c r="B126" s="16"/>
      <c r="C126" s="16"/>
      <c r="D126" s="16"/>
      <c r="E126" s="182" t="s">
        <v>18</v>
      </c>
      <c r="F126" s="16"/>
      <c r="G126" s="17"/>
      <c r="H126" s="183" t="s">
        <v>12</v>
      </c>
      <c r="I126" s="18"/>
      <c r="J126" s="18"/>
      <c r="K126" s="19"/>
      <c r="L126" s="184">
        <f>L129+L132</f>
        <v>0</v>
      </c>
      <c r="M126" s="184">
        <f>M129+M132</f>
        <v>0</v>
      </c>
      <c r="N126" s="184">
        <f>N129+N132</f>
        <v>0</v>
      </c>
      <c r="O126" s="184">
        <f>IF(L126&gt;0,N126*100/L126,0)</f>
        <v>0</v>
      </c>
      <c r="P126" s="184">
        <f>IF(M126&gt;0,N126*100/M126,0)</f>
        <v>0</v>
      </c>
    </row>
    <row r="127" spans="1:16" ht="18.75" hidden="1" x14ac:dyDescent="0.25">
      <c r="A127" s="174"/>
      <c r="B127" s="16"/>
      <c r="C127" s="16"/>
      <c r="D127" s="16"/>
      <c r="E127" s="185" t="s">
        <v>19</v>
      </c>
      <c r="F127" s="16"/>
      <c r="G127" s="17"/>
      <c r="H127" s="186" t="s">
        <v>12</v>
      </c>
      <c r="I127" s="18"/>
      <c r="J127" s="18"/>
      <c r="K127" s="19"/>
      <c r="L127" s="177">
        <f ca="1">L130+L133</f>
        <v>0</v>
      </c>
      <c r="M127" s="177">
        <f ca="1">M130+M133</f>
        <v>0</v>
      </c>
      <c r="N127" s="177">
        <f ca="1">N130+N133</f>
        <v>0</v>
      </c>
      <c r="O127" s="177">
        <f ca="1">IF(L127&gt;0,N127*100/L127,0)</f>
        <v>0</v>
      </c>
      <c r="P127" s="177">
        <f ca="1">IF(M127&gt;0,N127*100/M127,0)</f>
        <v>0</v>
      </c>
    </row>
    <row r="128" spans="1:16" ht="18.75" hidden="1" x14ac:dyDescent="0.25">
      <c r="A128" s="174"/>
      <c r="B128" s="16"/>
      <c r="C128" s="16"/>
      <c r="D128" s="401" t="s">
        <v>20</v>
      </c>
      <c r="E128" s="16"/>
      <c r="F128" s="16"/>
      <c r="G128" s="17"/>
      <c r="H128" s="188" t="s">
        <v>12</v>
      </c>
      <c r="I128" s="18"/>
      <c r="J128" s="18"/>
      <c r="K128" s="19"/>
      <c r="L128" s="177">
        <f ca="1">L129+L130</f>
        <v>0</v>
      </c>
      <c r="M128" s="177">
        <f ca="1">M129+M130</f>
        <v>0</v>
      </c>
      <c r="N128" s="177">
        <f ca="1">N129+N130</f>
        <v>0</v>
      </c>
      <c r="O128" s="177">
        <f ca="1">IF(L128&gt;0,N128*100/L128,0)</f>
        <v>0</v>
      </c>
      <c r="P128" s="177">
        <f ca="1">IF(M128&gt;0,N128*100/M128,0)</f>
        <v>0</v>
      </c>
    </row>
    <row r="129" spans="1:16" ht="18.75" hidden="1" x14ac:dyDescent="0.25">
      <c r="A129" s="174"/>
      <c r="B129" s="16"/>
      <c r="C129" s="16"/>
      <c r="D129" s="16"/>
      <c r="E129" s="182" t="s">
        <v>34</v>
      </c>
      <c r="F129" s="16"/>
      <c r="G129" s="17"/>
      <c r="H129" s="189" t="s">
        <v>12</v>
      </c>
      <c r="I129" s="18"/>
      <c r="J129" s="18"/>
      <c r="K129" s="19"/>
      <c r="L129" s="184">
        <v>0</v>
      </c>
      <c r="M129" s="184">
        <v>0</v>
      </c>
      <c r="N129" s="184">
        <v>0</v>
      </c>
      <c r="O129" s="184">
        <f>IF(L129&gt;0,N129*100/L129,0)</f>
        <v>0</v>
      </c>
      <c r="P129" s="184">
        <f>IF(M129&gt;0,N129*100/M129,0)</f>
        <v>0</v>
      </c>
    </row>
    <row r="130" spans="1:16" ht="18.75" hidden="1" x14ac:dyDescent="0.25">
      <c r="A130" s="174"/>
      <c r="B130" s="16"/>
      <c r="C130" s="16"/>
      <c r="D130" s="16"/>
      <c r="E130" s="185" t="s">
        <v>35</v>
      </c>
      <c r="F130" s="16"/>
      <c r="G130" s="17"/>
      <c r="H130" s="188" t="s">
        <v>12</v>
      </c>
      <c r="I130" s="18"/>
      <c r="J130" s="18"/>
      <c r="K130" s="19"/>
      <c r="L130" s="177">
        <f ca="1">IFERROR(__xludf.DUMMYFUNCTION("IMPORTRANGE(""https://docs.google.com/spreadsheets/d/1-uDff_7J0KD5mKrp0Vvzr7lt3OU09vwQwhkpOPPYv2Y/edit?usp=sharing"",""งบพรบ!BG15"")"),0)</f>
        <v>0</v>
      </c>
      <c r="M130" s="177">
        <f ca="1">IFERROR(__xludf.DUMMYFUNCTION("IMPORTRANGE(""https://docs.google.com/spreadsheets/d/1-uDff_7J0KD5mKrp0Vvzr7lt3OU09vwQwhkpOPPYv2Y/edit?usp=sharing"",""งบพรบ!BL15"")"),0)</f>
        <v>0</v>
      </c>
      <c r="N130" s="177">
        <f ca="1">IFERROR(__xludf.DUMMYFUNCTION("IMPORTRANGE(""https://docs.google.com/spreadsheets/d/1-uDff_7J0KD5mKrp0Vvzr7lt3OU09vwQwhkpOPPYv2Y/edit?usp=sharing"",""งบพรบ!BN15"")"),0)</f>
        <v>0</v>
      </c>
      <c r="O130" s="177">
        <f ca="1">IF(L130&gt;0,N130*100/L130,0)</f>
        <v>0</v>
      </c>
      <c r="P130" s="177">
        <f ca="1">IF(M130&gt;0,N130*100/M130,0)</f>
        <v>0</v>
      </c>
    </row>
    <row r="131" spans="1:16" ht="18.75" hidden="1" x14ac:dyDescent="0.25">
      <c r="A131" s="174"/>
      <c r="B131" s="16"/>
      <c r="C131" s="16"/>
      <c r="D131" s="401" t="s">
        <v>21</v>
      </c>
      <c r="E131" s="16"/>
      <c r="F131" s="16"/>
      <c r="G131" s="17"/>
      <c r="H131" s="186" t="s">
        <v>12</v>
      </c>
      <c r="I131" s="18"/>
      <c r="J131" s="18"/>
      <c r="K131" s="19"/>
      <c r="L131" s="177">
        <f ca="1">L132+L133</f>
        <v>0</v>
      </c>
      <c r="M131" s="177">
        <f ca="1">M132+M133</f>
        <v>0</v>
      </c>
      <c r="N131" s="177">
        <f ca="1">N132+N133</f>
        <v>0</v>
      </c>
      <c r="O131" s="177">
        <f ca="1">IF(L131&gt;0,N131*100/L131,0)</f>
        <v>0</v>
      </c>
      <c r="P131" s="177">
        <f ca="1">IF(M131&gt;0,N131*100/M131,0)</f>
        <v>0</v>
      </c>
    </row>
    <row r="132" spans="1:16" ht="18.75" hidden="1" x14ac:dyDescent="0.25">
      <c r="A132" s="174"/>
      <c r="B132" s="16"/>
      <c r="C132" s="16"/>
      <c r="D132" s="16"/>
      <c r="E132" s="182" t="s">
        <v>18</v>
      </c>
      <c r="F132" s="16"/>
      <c r="G132" s="17"/>
      <c r="H132" s="189" t="s">
        <v>12</v>
      </c>
      <c r="I132" s="18"/>
      <c r="J132" s="18"/>
      <c r="K132" s="19"/>
      <c r="L132" s="184">
        <v>0</v>
      </c>
      <c r="M132" s="184">
        <v>0</v>
      </c>
      <c r="N132" s="184">
        <v>0</v>
      </c>
      <c r="O132" s="184">
        <f>IF(L132&gt;0,N132*100/L132,0)</f>
        <v>0</v>
      </c>
      <c r="P132" s="184">
        <f>IF(M132&gt;0,N132*100/M132,0)</f>
        <v>0</v>
      </c>
    </row>
    <row r="133" spans="1:16" ht="18.75" hidden="1" x14ac:dyDescent="0.25">
      <c r="A133" s="174"/>
      <c r="B133" s="16"/>
      <c r="C133" s="16"/>
      <c r="D133" s="16"/>
      <c r="E133" s="185" t="s">
        <v>19</v>
      </c>
      <c r="F133" s="16"/>
      <c r="G133" s="17"/>
      <c r="H133" s="186" t="s">
        <v>12</v>
      </c>
      <c r="I133" s="18"/>
      <c r="J133" s="18"/>
      <c r="K133" s="19"/>
      <c r="L133" s="177">
        <f ca="1">IFERROR(__xludf.DUMMYFUNCTION("IMPORTRANGE(""https://docs.google.com/spreadsheets/d/1-uDff_7J0KD5mKrp0Vvzr7lt3OU09vwQwhkpOPPYv2Y/edit?usp=sharing"",""งบพรบ!BJ15"")"),0)</f>
        <v>0</v>
      </c>
      <c r="M133" s="177">
        <f ca="1">IFERROR(__xludf.DUMMYFUNCTION("IMPORTRANGE(""https://docs.google.com/spreadsheets/d/1-uDff_7J0KD5mKrp0Vvzr7lt3OU09vwQwhkpOPPYv2Y/edit?usp=sharing"",""งบพรบ!BM15"")"),0)</f>
        <v>0</v>
      </c>
      <c r="N133" s="177">
        <f ca="1">IFERROR(__xludf.DUMMYFUNCTION("IMPORTRANGE(""https://docs.google.com/spreadsheets/d/1-uDff_7J0KD5mKrp0Vvzr7lt3OU09vwQwhkpOPPYv2Y/edit?usp=sharing"",""งบพรบ!BO15"")"),0)</f>
        <v>0</v>
      </c>
      <c r="O133" s="177">
        <f ca="1">IF(L133&gt;0,N133*100/L133,0)</f>
        <v>0</v>
      </c>
      <c r="P133" s="177">
        <f ca="1">IF(M133&gt;0,N133*100/M133,0)</f>
        <v>0</v>
      </c>
    </row>
    <row r="134" spans="1:16" ht="19.5" x14ac:dyDescent="0.3">
      <c r="A134" s="125" t="s">
        <v>51</v>
      </c>
      <c r="B134" s="126"/>
      <c r="C134" s="190"/>
      <c r="D134" s="126"/>
      <c r="E134" s="126"/>
      <c r="F134" s="126"/>
      <c r="G134" s="126"/>
      <c r="H134" s="126"/>
      <c r="I134" s="191"/>
      <c r="J134" s="191"/>
      <c r="K134" s="192"/>
      <c r="L134" s="130"/>
      <c r="M134" s="130"/>
      <c r="N134" s="130"/>
      <c r="O134" s="130"/>
      <c r="P134" s="130"/>
    </row>
    <row r="135" spans="1:16" ht="19.5" x14ac:dyDescent="0.3">
      <c r="A135" s="131"/>
      <c r="B135" s="132" t="s">
        <v>52</v>
      </c>
      <c r="C135" s="193"/>
      <c r="D135" s="133"/>
      <c r="E135" s="26"/>
      <c r="F135" s="26"/>
      <c r="G135" s="26"/>
      <c r="H135" s="26"/>
      <c r="I135" s="194"/>
      <c r="J135" s="31"/>
      <c r="K135" s="32"/>
      <c r="L135" s="32"/>
      <c r="M135" s="32"/>
      <c r="N135" s="32"/>
      <c r="O135" s="32"/>
      <c r="P135" s="32"/>
    </row>
    <row r="136" spans="1:16" ht="19.5" x14ac:dyDescent="0.3">
      <c r="A136" s="131"/>
      <c r="B136" s="26"/>
      <c r="C136" s="195" t="s">
        <v>53</v>
      </c>
      <c r="D136" s="133"/>
      <c r="E136" s="26"/>
      <c r="F136" s="26"/>
      <c r="G136" s="29"/>
      <c r="H136" s="134" t="s">
        <v>54</v>
      </c>
      <c r="I136" s="135">
        <f ca="1">I154</f>
        <v>3</v>
      </c>
      <c r="J136" s="135">
        <f>J154</f>
        <v>0</v>
      </c>
      <c r="K136" s="33">
        <f ca="1">IF(I136&gt;0,J136*100/I136,0)</f>
        <v>0</v>
      </c>
      <c r="L136" s="32"/>
      <c r="M136" s="32"/>
      <c r="N136" s="32"/>
      <c r="O136" s="32"/>
      <c r="P136" s="32"/>
    </row>
    <row r="137" spans="1:16" ht="19.5" x14ac:dyDescent="0.3">
      <c r="A137" s="131"/>
      <c r="B137" s="26"/>
      <c r="C137" s="195" t="s">
        <v>55</v>
      </c>
      <c r="D137" s="133"/>
      <c r="E137" s="26"/>
      <c r="F137" s="26"/>
      <c r="G137" s="29"/>
      <c r="H137" s="134" t="s">
        <v>33</v>
      </c>
      <c r="I137" s="135">
        <f ca="1">I152</f>
        <v>80</v>
      </c>
      <c r="J137" s="135">
        <f>J152</f>
        <v>0</v>
      </c>
      <c r="K137" s="33">
        <f ca="1">IF(I137&gt;0,J137*100/I137,0)</f>
        <v>0</v>
      </c>
      <c r="L137" s="32"/>
      <c r="M137" s="32"/>
      <c r="N137" s="32"/>
      <c r="O137" s="32"/>
      <c r="P137" s="32"/>
    </row>
    <row r="138" spans="1:16" ht="19.5" x14ac:dyDescent="0.3">
      <c r="A138" s="131"/>
      <c r="B138" s="26"/>
      <c r="C138" s="193"/>
      <c r="D138" s="133"/>
      <c r="E138" s="26"/>
      <c r="F138" s="26"/>
      <c r="G138" s="29"/>
      <c r="H138" s="134" t="s">
        <v>56</v>
      </c>
      <c r="I138" s="135">
        <f ca="1">I153</f>
        <v>8</v>
      </c>
      <c r="J138" s="135">
        <f>J153</f>
        <v>0</v>
      </c>
      <c r="K138" s="33">
        <f ca="1">IF(I138&gt;0,J138*100/I138,0)</f>
        <v>0</v>
      </c>
      <c r="L138" s="32"/>
      <c r="M138" s="32"/>
      <c r="N138" s="32"/>
      <c r="O138" s="32"/>
      <c r="P138" s="32"/>
    </row>
    <row r="139" spans="1:16" ht="19.5" x14ac:dyDescent="0.3">
      <c r="A139" s="136"/>
      <c r="B139" s="41"/>
      <c r="C139" s="197" t="s">
        <v>16</v>
      </c>
      <c r="D139" s="397" t="s">
        <v>17</v>
      </c>
      <c r="E139" s="41"/>
      <c r="F139" s="41"/>
      <c r="G139" s="43"/>
      <c r="H139" s="139" t="s">
        <v>12</v>
      </c>
      <c r="I139" s="45"/>
      <c r="J139" s="45"/>
      <c r="K139" s="46"/>
      <c r="L139" s="140">
        <f ca="1">L140+L141</f>
        <v>116300</v>
      </c>
      <c r="M139" s="140">
        <f ca="1">M140+M141</f>
        <v>111300</v>
      </c>
      <c r="N139" s="140">
        <f ca="1">N140+N141</f>
        <v>0</v>
      </c>
      <c r="O139" s="140">
        <f ca="1">IF(L139&gt;0,N139*100/L139,0)</f>
        <v>0</v>
      </c>
      <c r="P139" s="140">
        <f ca="1">IF(M139&gt;0,N139*100/M139,0)</f>
        <v>0</v>
      </c>
    </row>
    <row r="140" spans="1:16" ht="18.75" hidden="1" x14ac:dyDescent="0.25">
      <c r="A140" s="136"/>
      <c r="B140" s="41"/>
      <c r="C140" s="41"/>
      <c r="D140" s="41"/>
      <c r="E140" s="279" t="s">
        <v>18</v>
      </c>
      <c r="F140" s="41"/>
      <c r="G140" s="43"/>
      <c r="H140" s="141" t="s">
        <v>12</v>
      </c>
      <c r="I140" s="45"/>
      <c r="J140" s="45"/>
      <c r="K140" s="46"/>
      <c r="L140" s="50">
        <f>L143+L146</f>
        <v>0</v>
      </c>
      <c r="M140" s="50">
        <f>M143+M146</f>
        <v>0</v>
      </c>
      <c r="N140" s="50">
        <f>N143+N146</f>
        <v>0</v>
      </c>
      <c r="O140" s="50">
        <f>IF(L140&gt;0,N140*100/L140,0)</f>
        <v>0</v>
      </c>
      <c r="P140" s="50">
        <f>IF(M140&gt;0,N140*100/M140,0)</f>
        <v>0</v>
      </c>
    </row>
    <row r="141" spans="1:16" ht="18.75" x14ac:dyDescent="0.25">
      <c r="A141" s="136"/>
      <c r="B141" s="41"/>
      <c r="C141" s="41"/>
      <c r="D141" s="41"/>
      <c r="E141" s="254" t="s">
        <v>19</v>
      </c>
      <c r="F141" s="41"/>
      <c r="G141" s="43"/>
      <c r="H141" s="142" t="s">
        <v>12</v>
      </c>
      <c r="I141" s="45"/>
      <c r="J141" s="45"/>
      <c r="K141" s="46"/>
      <c r="L141" s="47">
        <f ca="1">L144+L147</f>
        <v>116300</v>
      </c>
      <c r="M141" s="47">
        <f ca="1">M144+M147</f>
        <v>111300</v>
      </c>
      <c r="N141" s="47">
        <f ca="1">N144+N147</f>
        <v>0</v>
      </c>
      <c r="O141" s="47">
        <f ca="1">IF(L141&gt;0,N141*100/L141,0)</f>
        <v>0</v>
      </c>
      <c r="P141" s="47">
        <f ca="1">IF(M141&gt;0,N141*100/M141,0)</f>
        <v>0</v>
      </c>
    </row>
    <row r="142" spans="1:16" ht="18.75" x14ac:dyDescent="0.25">
      <c r="A142" s="136"/>
      <c r="B142" s="41"/>
      <c r="C142" s="41"/>
      <c r="D142" s="42" t="s">
        <v>20</v>
      </c>
      <c r="E142" s="41"/>
      <c r="F142" s="41"/>
      <c r="G142" s="43"/>
      <c r="H142" s="143" t="s">
        <v>12</v>
      </c>
      <c r="I142" s="144"/>
      <c r="J142" s="144"/>
      <c r="K142" s="145"/>
      <c r="L142" s="47">
        <f ca="1">L143+L144</f>
        <v>116300</v>
      </c>
      <c r="M142" s="47">
        <f ca="1">M143+M144</f>
        <v>111300</v>
      </c>
      <c r="N142" s="47">
        <f ca="1">N143+N144</f>
        <v>0</v>
      </c>
      <c r="O142" s="47">
        <f ca="1">IF(L142&gt;0,N142*100/L142,0)</f>
        <v>0</v>
      </c>
      <c r="P142" s="47">
        <f ca="1">IF(M142&gt;0,N142*100/M142,0)</f>
        <v>0</v>
      </c>
    </row>
    <row r="143" spans="1:16" ht="18.75" hidden="1" x14ac:dyDescent="0.25">
      <c r="A143" s="136"/>
      <c r="B143" s="41"/>
      <c r="C143" s="41"/>
      <c r="D143" s="41"/>
      <c r="E143" s="279" t="s">
        <v>34</v>
      </c>
      <c r="F143" s="41"/>
      <c r="G143" s="43"/>
      <c r="H143" s="146" t="s">
        <v>12</v>
      </c>
      <c r="I143" s="144"/>
      <c r="J143" s="144"/>
      <c r="K143" s="145"/>
      <c r="L143" s="50">
        <v>0</v>
      </c>
      <c r="M143" s="50">
        <v>0</v>
      </c>
      <c r="N143" s="50">
        <v>0</v>
      </c>
      <c r="O143" s="50">
        <f>IF(L143&gt;0,N143*100/L143,0)</f>
        <v>0</v>
      </c>
      <c r="P143" s="50">
        <f>IF(M143&gt;0,N143*100/M143,0)</f>
        <v>0</v>
      </c>
    </row>
    <row r="144" spans="1:16" ht="18.75" x14ac:dyDescent="0.25">
      <c r="A144" s="136"/>
      <c r="B144" s="41"/>
      <c r="C144" s="41"/>
      <c r="D144" s="41"/>
      <c r="E144" s="254" t="s">
        <v>35</v>
      </c>
      <c r="F144" s="41"/>
      <c r="G144" s="43"/>
      <c r="H144" s="143" t="s">
        <v>12</v>
      </c>
      <c r="I144" s="144"/>
      <c r="J144" s="144"/>
      <c r="K144" s="145"/>
      <c r="L144" s="47">
        <f ca="1">IFERROR(__xludf.DUMMYFUNCTION("IMPORTRANGE(""https://docs.google.com/spreadsheets/d/1-uDff_7J0KD5mKrp0Vvzr7lt3OU09vwQwhkpOPPYv2Y/edit?usp=sharing"",""งบพรบ!BQ15"")"),116300)</f>
        <v>116300</v>
      </c>
      <c r="M144" s="47">
        <f ca="1">IFERROR(__xludf.DUMMYFUNCTION("IMPORTRANGE(""https://docs.google.com/spreadsheets/d/1-uDff_7J0KD5mKrp0Vvzr7lt3OU09vwQwhkpOPPYv2Y/edit?usp=sharing"",""งบพรบ!BV15"")"),111300)</f>
        <v>111300</v>
      </c>
      <c r="N144" s="47">
        <f ca="1">IFERROR(__xludf.DUMMYFUNCTION("IMPORTRANGE(""https://docs.google.com/spreadsheets/d/1-uDff_7J0KD5mKrp0Vvzr7lt3OU09vwQwhkpOPPYv2Y/edit?usp=sharing"",""งบพรบ!BX15"")"),0)</f>
        <v>0</v>
      </c>
      <c r="O144" s="47">
        <f ca="1">IF(L144&gt;0,N144*100/L144,0)</f>
        <v>0</v>
      </c>
      <c r="P144" s="47">
        <f ca="1">IF(M144&gt;0,N144*100/M144,0)</f>
        <v>0</v>
      </c>
    </row>
    <row r="145" spans="1:16" ht="18.75" x14ac:dyDescent="0.25">
      <c r="A145" s="136"/>
      <c r="B145" s="41"/>
      <c r="C145" s="41"/>
      <c r="D145" s="42" t="s">
        <v>21</v>
      </c>
      <c r="E145" s="41"/>
      <c r="F145" s="41"/>
      <c r="G145" s="43"/>
      <c r="H145" s="147" t="s">
        <v>12</v>
      </c>
      <c r="I145" s="144"/>
      <c r="J145" s="144"/>
      <c r="K145" s="145"/>
      <c r="L145" s="47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</row>
    <row r="146" spans="1:16" ht="18.75" hidden="1" x14ac:dyDescent="0.25">
      <c r="A146" s="136"/>
      <c r="B146" s="41"/>
      <c r="C146" s="41"/>
      <c r="D146" s="41"/>
      <c r="E146" s="279" t="s">
        <v>18</v>
      </c>
      <c r="F146" s="41"/>
      <c r="G146" s="43"/>
      <c r="H146" s="146" t="s">
        <v>12</v>
      </c>
      <c r="I146" s="144"/>
      <c r="J146" s="144"/>
      <c r="K146" s="145"/>
      <c r="L146" s="50">
        <v>0</v>
      </c>
      <c r="M146" s="50">
        <v>0</v>
      </c>
      <c r="N146" s="50">
        <v>0</v>
      </c>
      <c r="O146" s="50">
        <f>IF(L146&gt;0,N146*100/L146,0)</f>
        <v>0</v>
      </c>
      <c r="P146" s="50">
        <f>IF(M146&gt;0,N146*100/M146,0)</f>
        <v>0</v>
      </c>
    </row>
    <row r="147" spans="1:16" ht="18.75" x14ac:dyDescent="0.25">
      <c r="A147" s="136"/>
      <c r="B147" s="41"/>
      <c r="C147" s="41"/>
      <c r="D147" s="41"/>
      <c r="E147" s="254" t="s">
        <v>19</v>
      </c>
      <c r="F147" s="41"/>
      <c r="G147" s="43"/>
      <c r="H147" s="147" t="s">
        <v>12</v>
      </c>
      <c r="I147" s="144"/>
      <c r="J147" s="144"/>
      <c r="K147" s="145"/>
      <c r="L147" s="47">
        <f ca="1">IFERROR(__xludf.DUMMYFUNCTION("IMPORTRANGE(""https://docs.google.com/spreadsheets/d/1-uDff_7J0KD5mKrp0Vvzr7lt3OU09vwQwhkpOPPYv2Y/edit?usp=sharing"",""งบพรบ!BT15"")"),0)</f>
        <v>0</v>
      </c>
      <c r="M147" s="47">
        <f ca="1">IFERROR(__xludf.DUMMYFUNCTION("IMPORTRANGE(""https://docs.google.com/spreadsheets/d/1-uDff_7J0KD5mKrp0Vvzr7lt3OU09vwQwhkpOPPYv2Y/edit?usp=sharing"",""งบพรบ!BW15"")"),0)</f>
        <v>0</v>
      </c>
      <c r="N147" s="47">
        <f ca="1">IFERROR(__xludf.DUMMYFUNCTION("IMPORTRANGE(""https://docs.google.com/spreadsheets/d/1-uDff_7J0KD5mKrp0Vvzr7lt3OU09vwQwhkpOPPYv2Y/edit?usp=sharing"",""งบพรบ!BY15"")"),0)</f>
        <v>0</v>
      </c>
      <c r="O147" s="47">
        <f ca="1">IF(L147&gt;0,N147*100/L147,0)</f>
        <v>0</v>
      </c>
      <c r="P147" s="47">
        <f ca="1">IF(M147&gt;0,N147*100/M147,0)</f>
        <v>0</v>
      </c>
    </row>
    <row r="148" spans="1:16" ht="19.5" x14ac:dyDescent="0.3">
      <c r="A148" s="148"/>
      <c r="B148" s="149"/>
      <c r="C148" s="197" t="s">
        <v>16</v>
      </c>
      <c r="D148" s="395" t="s">
        <v>36</v>
      </c>
      <c r="E148" s="151"/>
      <c r="F148" s="151"/>
      <c r="G148" s="152"/>
      <c r="H148" s="196"/>
      <c r="I148" s="45"/>
      <c r="J148" s="45"/>
      <c r="K148" s="46"/>
      <c r="L148" s="46"/>
      <c r="M148" s="46"/>
      <c r="N148" s="46"/>
      <c r="O148" s="46"/>
      <c r="P148" s="46"/>
    </row>
    <row r="149" spans="1:16" ht="18.75" x14ac:dyDescent="0.25">
      <c r="A149" s="136"/>
      <c r="B149" s="41"/>
      <c r="C149" s="41"/>
      <c r="D149" s="254" t="s">
        <v>57</v>
      </c>
      <c r="E149" s="41"/>
      <c r="F149" s="41"/>
      <c r="G149" s="43"/>
      <c r="H149" s="196"/>
      <c r="I149" s="45"/>
      <c r="J149" s="250">
        <v>0</v>
      </c>
      <c r="K149" s="46"/>
      <c r="L149" s="46"/>
      <c r="M149" s="46"/>
      <c r="N149" s="46"/>
      <c r="O149" s="46"/>
      <c r="P149" s="46"/>
    </row>
    <row r="150" spans="1:16" ht="19.5" x14ac:dyDescent="0.3">
      <c r="A150" s="136"/>
      <c r="B150" s="41"/>
      <c r="C150" s="41"/>
      <c r="D150" s="155"/>
      <c r="E150" s="197" t="s">
        <v>58</v>
      </c>
      <c r="F150" s="41"/>
      <c r="G150" s="43"/>
      <c r="H150" s="147" t="s">
        <v>33</v>
      </c>
      <c r="I150" s="169">
        <f ca="1">IFERROR(__xludf.DUMMYFUNCTION("IMPORTRANGE(""https://docs.google.com/spreadsheets/d/1eHaY18a8A9IcSdp1K8H6x8fbOy06t2VsZHhMHf-1x7Y/edit?usp=sharing"",""แผน!U15"")"),30)</f>
        <v>30</v>
      </c>
      <c r="J150" s="250">
        <v>0</v>
      </c>
      <c r="K150" s="47">
        <f ca="1">IF(I150&gt;0,J150*100/I150,0)</f>
        <v>0</v>
      </c>
      <c r="L150" s="46"/>
      <c r="M150" s="46"/>
      <c r="N150" s="46"/>
      <c r="O150" s="46"/>
      <c r="P150" s="46"/>
    </row>
    <row r="151" spans="1:16" ht="18.75" x14ac:dyDescent="0.25">
      <c r="A151" s="136"/>
      <c r="B151" s="41"/>
      <c r="C151" s="41"/>
      <c r="D151" s="155"/>
      <c r="E151" s="41"/>
      <c r="F151" s="41"/>
      <c r="G151" s="43"/>
      <c r="H151" s="147" t="s">
        <v>56</v>
      </c>
      <c r="I151" s="169">
        <f ca="1">IFERROR(__xludf.DUMMYFUNCTION("IMPORTRANGE(""https://docs.google.com/spreadsheets/d/1eHaY18a8A9IcSdp1K8H6x8fbOy06t2VsZHhMHf-1x7Y/edit?usp=sharing"",""แผน!V15"")"),3)</f>
        <v>3</v>
      </c>
      <c r="J151" s="250">
        <v>0</v>
      </c>
      <c r="K151" s="47">
        <f ca="1">IF(I151&gt;0,J151*100/I151,0)</f>
        <v>0</v>
      </c>
      <c r="L151" s="46"/>
      <c r="M151" s="46"/>
      <c r="N151" s="46"/>
      <c r="O151" s="46"/>
      <c r="P151" s="46"/>
    </row>
    <row r="152" spans="1:16" ht="19.5" x14ac:dyDescent="0.3">
      <c r="A152" s="136"/>
      <c r="B152" s="41"/>
      <c r="C152" s="41"/>
      <c r="D152" s="155"/>
      <c r="E152" s="197" t="s">
        <v>59</v>
      </c>
      <c r="F152" s="41"/>
      <c r="G152" s="43"/>
      <c r="H152" s="147" t="s">
        <v>33</v>
      </c>
      <c r="I152" s="169">
        <f ca="1">IFERROR(__xludf.DUMMYFUNCTION("IMPORTRANGE(""https://docs.google.com/spreadsheets/d/1eHaY18a8A9IcSdp1K8H6x8fbOy06t2VsZHhMHf-1x7Y/edit?usp=sharing"",""แผน!W15"")"),80)</f>
        <v>80</v>
      </c>
      <c r="J152" s="250">
        <v>0</v>
      </c>
      <c r="K152" s="47">
        <f ca="1">IF(I152&gt;0,J152*100/I152,0)</f>
        <v>0</v>
      </c>
      <c r="L152" s="46"/>
      <c r="M152" s="46"/>
      <c r="N152" s="46"/>
      <c r="O152" s="46"/>
      <c r="P152" s="46"/>
    </row>
    <row r="153" spans="1:16" ht="18.75" x14ac:dyDescent="0.25">
      <c r="A153" s="136"/>
      <c r="B153" s="41"/>
      <c r="C153" s="41"/>
      <c r="D153" s="41"/>
      <c r="E153" s="41"/>
      <c r="F153" s="41"/>
      <c r="G153" s="43"/>
      <c r="H153" s="147" t="s">
        <v>56</v>
      </c>
      <c r="I153" s="169">
        <f ca="1">IFERROR(__xludf.DUMMYFUNCTION("IMPORTRANGE(""https://docs.google.com/spreadsheets/d/1eHaY18a8A9IcSdp1K8H6x8fbOy06t2VsZHhMHf-1x7Y/edit?usp=sharing"",""แผน!X15"")"),8)</f>
        <v>8</v>
      </c>
      <c r="J153" s="250">
        <v>0</v>
      </c>
      <c r="K153" s="47">
        <f ca="1">IF(I153&gt;0,J153*100/I153,0)</f>
        <v>0</v>
      </c>
      <c r="L153" s="46"/>
      <c r="M153" s="46"/>
      <c r="N153" s="46"/>
      <c r="O153" s="46"/>
      <c r="P153" s="46"/>
    </row>
    <row r="154" spans="1:16" ht="18.75" x14ac:dyDescent="0.25">
      <c r="A154" s="136"/>
      <c r="B154" s="41"/>
      <c r="C154" s="41"/>
      <c r="D154" s="254" t="s">
        <v>60</v>
      </c>
      <c r="E154" s="41"/>
      <c r="F154" s="41"/>
      <c r="G154" s="43"/>
      <c r="H154" s="147" t="s">
        <v>54</v>
      </c>
      <c r="I154" s="169">
        <f ca="1">IFERROR(__xludf.DUMMYFUNCTION("IMPORTRANGE(""https://docs.google.com/spreadsheets/d/1eHaY18a8A9IcSdp1K8H6x8fbOy06t2VsZHhMHf-1x7Y/edit?usp=sharing"",""แผน!Y15"")"),3)</f>
        <v>3</v>
      </c>
      <c r="J154" s="250">
        <v>0</v>
      </c>
      <c r="K154" s="47">
        <f ca="1">IF(I154&gt;0,J154*100/I154,0)</f>
        <v>0</v>
      </c>
      <c r="L154" s="46"/>
      <c r="M154" s="46"/>
      <c r="N154" s="46"/>
      <c r="O154" s="46"/>
      <c r="P154" s="46"/>
    </row>
    <row r="155" spans="1:16" ht="19.5" x14ac:dyDescent="0.3">
      <c r="A155" s="125" t="s">
        <v>61</v>
      </c>
      <c r="B155" s="126"/>
      <c r="C155" s="190"/>
      <c r="D155" s="126"/>
      <c r="E155" s="126"/>
      <c r="F155" s="126"/>
      <c r="G155" s="126"/>
      <c r="H155" s="126"/>
      <c r="I155" s="191"/>
      <c r="J155" s="191"/>
      <c r="K155" s="192"/>
      <c r="L155" s="130"/>
      <c r="M155" s="130"/>
      <c r="N155" s="130"/>
      <c r="O155" s="130"/>
      <c r="P155" s="130"/>
    </row>
    <row r="156" spans="1:16" ht="19.5" x14ac:dyDescent="0.3">
      <c r="A156" s="131"/>
      <c r="B156" s="132" t="s">
        <v>62</v>
      </c>
      <c r="C156" s="26"/>
      <c r="D156" s="26"/>
      <c r="E156" s="26"/>
      <c r="F156" s="26"/>
      <c r="G156" s="29"/>
      <c r="H156" s="198" t="s">
        <v>33</v>
      </c>
      <c r="I156" s="135">
        <f ca="1">I167</f>
        <v>10</v>
      </c>
      <c r="J156" s="135">
        <f>J167</f>
        <v>0</v>
      </c>
      <c r="K156" s="33">
        <f ca="1">IF(I156&gt;0,J156*100/I156,0)</f>
        <v>0</v>
      </c>
      <c r="L156" s="32"/>
      <c r="M156" s="32"/>
      <c r="N156" s="32"/>
      <c r="O156" s="32"/>
      <c r="P156" s="32"/>
    </row>
    <row r="157" spans="1:16" ht="19.5" x14ac:dyDescent="0.3">
      <c r="A157" s="136"/>
      <c r="B157" s="41"/>
      <c r="C157" s="197" t="s">
        <v>16</v>
      </c>
      <c r="D157" s="397" t="s">
        <v>17</v>
      </c>
      <c r="E157" s="41"/>
      <c r="F157" s="41"/>
      <c r="G157" s="43"/>
      <c r="H157" s="139" t="s">
        <v>12</v>
      </c>
      <c r="I157" s="45"/>
      <c r="J157" s="45"/>
      <c r="K157" s="46"/>
      <c r="L157" s="140">
        <f ca="1">L158+L159</f>
        <v>3000</v>
      </c>
      <c r="M157" s="140">
        <f ca="1">M158+M159</f>
        <v>0</v>
      </c>
      <c r="N157" s="140">
        <f ca="1">N158+N159</f>
        <v>0</v>
      </c>
      <c r="O157" s="140">
        <f ca="1">IF(L157&gt;0,N157*100/L157,0)</f>
        <v>0</v>
      </c>
      <c r="P157" s="140">
        <f ca="1">IF(M157&gt;0,N157*100/M157,0)</f>
        <v>0</v>
      </c>
    </row>
    <row r="158" spans="1:16" ht="18.75" hidden="1" x14ac:dyDescent="0.25">
      <c r="A158" s="136"/>
      <c r="B158" s="41"/>
      <c r="C158" s="41"/>
      <c r="D158" s="41"/>
      <c r="E158" s="279" t="s">
        <v>18</v>
      </c>
      <c r="F158" s="41"/>
      <c r="G158" s="43"/>
      <c r="H158" s="141" t="s">
        <v>12</v>
      </c>
      <c r="I158" s="45"/>
      <c r="J158" s="45"/>
      <c r="K158" s="46"/>
      <c r="L158" s="50">
        <f>L161+L164</f>
        <v>0</v>
      </c>
      <c r="M158" s="50">
        <f>M161+M164</f>
        <v>0</v>
      </c>
      <c r="N158" s="50">
        <f>N161+N164</f>
        <v>0</v>
      </c>
      <c r="O158" s="50">
        <f>IF(L158&gt;0,N158*100/L158,0)</f>
        <v>0</v>
      </c>
      <c r="P158" s="50">
        <f>IF(M158&gt;0,N158*100/M158,0)</f>
        <v>0</v>
      </c>
    </row>
    <row r="159" spans="1:16" ht="18.75" x14ac:dyDescent="0.25">
      <c r="A159" s="136"/>
      <c r="B159" s="41"/>
      <c r="C159" s="41"/>
      <c r="D159" s="41"/>
      <c r="E159" s="254" t="s">
        <v>19</v>
      </c>
      <c r="F159" s="41"/>
      <c r="G159" s="43"/>
      <c r="H159" s="142" t="s">
        <v>12</v>
      </c>
      <c r="I159" s="45"/>
      <c r="J159" s="45"/>
      <c r="K159" s="46"/>
      <c r="L159" s="47">
        <f ca="1">L162+L165</f>
        <v>3000</v>
      </c>
      <c r="M159" s="47">
        <f ca="1">M162+M165</f>
        <v>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</row>
    <row r="160" spans="1:16" ht="18.75" x14ac:dyDescent="0.25">
      <c r="A160" s="136"/>
      <c r="B160" s="41"/>
      <c r="C160" s="41"/>
      <c r="D160" s="42" t="s">
        <v>20</v>
      </c>
      <c r="E160" s="41"/>
      <c r="F160" s="41"/>
      <c r="G160" s="43"/>
      <c r="H160" s="143" t="s">
        <v>12</v>
      </c>
      <c r="I160" s="144"/>
      <c r="J160" s="144"/>
      <c r="K160" s="145"/>
      <c r="L160" s="47">
        <f ca="1">L161+L162</f>
        <v>3000</v>
      </c>
      <c r="M160" s="47">
        <f ca="1">M161+M162</f>
        <v>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</row>
    <row r="161" spans="1:16" ht="18.75" hidden="1" x14ac:dyDescent="0.25">
      <c r="A161" s="136"/>
      <c r="B161" s="41"/>
      <c r="C161" s="41"/>
      <c r="D161" s="41"/>
      <c r="E161" s="279" t="s">
        <v>34</v>
      </c>
      <c r="F161" s="41"/>
      <c r="G161" s="43"/>
      <c r="H161" s="146" t="s">
        <v>12</v>
      </c>
      <c r="I161" s="144"/>
      <c r="J161" s="144"/>
      <c r="K161" s="145"/>
      <c r="L161" s="50">
        <v>0</v>
      </c>
      <c r="M161" s="50">
        <v>0</v>
      </c>
      <c r="N161" s="50">
        <v>0</v>
      </c>
      <c r="O161" s="50">
        <f>IF(L161&gt;0,N161*100/L161,0)</f>
        <v>0</v>
      </c>
      <c r="P161" s="50">
        <f>IF(M161&gt;0,N161*100/M161,0)</f>
        <v>0</v>
      </c>
    </row>
    <row r="162" spans="1:16" ht="18.75" x14ac:dyDescent="0.25">
      <c r="A162" s="136"/>
      <c r="B162" s="41"/>
      <c r="C162" s="41"/>
      <c r="D162" s="41"/>
      <c r="E162" s="254" t="s">
        <v>35</v>
      </c>
      <c r="F162" s="41"/>
      <c r="G162" s="43"/>
      <c r="H162" s="143" t="s">
        <v>12</v>
      </c>
      <c r="I162" s="144"/>
      <c r="J162" s="144"/>
      <c r="K162" s="145"/>
      <c r="L162" s="47">
        <f ca="1">IFERROR(__xludf.DUMMYFUNCTION("IMPORTRANGE(""https://docs.google.com/spreadsheets/d/1-uDff_7J0KD5mKrp0Vvzr7lt3OU09vwQwhkpOPPYv2Y/edit?usp=sharing"",""งบพรบ!CA15"")"),3000)</f>
        <v>3000</v>
      </c>
      <c r="M162" s="47">
        <f ca="1">IFERROR(__xludf.DUMMYFUNCTION("IMPORTRANGE(""https://docs.google.com/spreadsheets/d/1-uDff_7J0KD5mKrp0Vvzr7lt3OU09vwQwhkpOPPYv2Y/edit?usp=sharing"",""งบพรบ!CF15"")"),0)</f>
        <v>0</v>
      </c>
      <c r="N162" s="47">
        <f ca="1">IFERROR(__xludf.DUMMYFUNCTION("IMPORTRANGE(""https://docs.google.com/spreadsheets/d/1-uDff_7J0KD5mKrp0Vvzr7lt3OU09vwQwhkpOPPYv2Y/edit?usp=sharing"",""งบพรบ!CH15"")"),0)</f>
        <v>0</v>
      </c>
      <c r="O162" s="47">
        <f ca="1">IF(L162&gt;0,N162*100/L162,0)</f>
        <v>0</v>
      </c>
      <c r="P162" s="47">
        <f ca="1">IF(M162&gt;0,N162*100/M162,0)</f>
        <v>0</v>
      </c>
    </row>
    <row r="163" spans="1:16" ht="18.75" x14ac:dyDescent="0.25">
      <c r="A163" s="136"/>
      <c r="B163" s="41"/>
      <c r="C163" s="41"/>
      <c r="D163" s="42" t="s">
        <v>21</v>
      </c>
      <c r="E163" s="41"/>
      <c r="F163" s="41"/>
      <c r="G163" s="43"/>
      <c r="H163" s="147" t="s">
        <v>12</v>
      </c>
      <c r="I163" s="144"/>
      <c r="J163" s="144"/>
      <c r="K163" s="145"/>
      <c r="L163" s="47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</row>
    <row r="164" spans="1:16" ht="18.75" hidden="1" x14ac:dyDescent="0.25">
      <c r="A164" s="136"/>
      <c r="B164" s="41"/>
      <c r="C164" s="41"/>
      <c r="D164" s="41"/>
      <c r="E164" s="279" t="s">
        <v>18</v>
      </c>
      <c r="F164" s="41"/>
      <c r="G164" s="43"/>
      <c r="H164" s="146" t="s">
        <v>12</v>
      </c>
      <c r="I164" s="144"/>
      <c r="J164" s="144"/>
      <c r="K164" s="145"/>
      <c r="L164" s="50">
        <v>0</v>
      </c>
      <c r="M164" s="50">
        <v>0</v>
      </c>
      <c r="N164" s="50">
        <v>0</v>
      </c>
      <c r="O164" s="50">
        <f>IF(L164&gt;0,N164*100/L164,0)</f>
        <v>0</v>
      </c>
      <c r="P164" s="50">
        <f>IF(M164&gt;0,N164*100/M164,0)</f>
        <v>0</v>
      </c>
    </row>
    <row r="165" spans="1:16" ht="18.75" x14ac:dyDescent="0.25">
      <c r="A165" s="136"/>
      <c r="B165" s="41"/>
      <c r="C165" s="41"/>
      <c r="D165" s="41"/>
      <c r="E165" s="254" t="s">
        <v>19</v>
      </c>
      <c r="F165" s="41"/>
      <c r="G165" s="43"/>
      <c r="H165" s="147" t="s">
        <v>12</v>
      </c>
      <c r="I165" s="144"/>
      <c r="J165" s="144"/>
      <c r="K165" s="145"/>
      <c r="L165" s="47">
        <f ca="1">IFERROR(__xludf.DUMMYFUNCTION("IMPORTRANGE(""https://docs.google.com/spreadsheets/d/1-uDff_7J0KD5mKrp0Vvzr7lt3OU09vwQwhkpOPPYv2Y/edit?usp=sharing"",""งบพรบ!CD15"")"),0)</f>
        <v>0</v>
      </c>
      <c r="M165" s="47">
        <f ca="1">IFERROR(__xludf.DUMMYFUNCTION("IMPORTRANGE(""https://docs.google.com/spreadsheets/d/1-uDff_7J0KD5mKrp0Vvzr7lt3OU09vwQwhkpOPPYv2Y/edit?usp=sharing"",""งบพรบ!CG15"")"),0)</f>
        <v>0</v>
      </c>
      <c r="N165" s="47">
        <f ca="1">IFERROR(__xludf.DUMMYFUNCTION("IMPORTRANGE(""https://docs.google.com/spreadsheets/d/1-uDff_7J0KD5mKrp0Vvzr7lt3OU09vwQwhkpOPPYv2Y/edit?usp=sharing"",""งบพรบ!CI15"")"),0)</f>
        <v>0</v>
      </c>
      <c r="O165" s="47">
        <f ca="1">IF(L165&gt;0,N165*100/L165,0)</f>
        <v>0</v>
      </c>
      <c r="P165" s="47">
        <f ca="1">IF(M165&gt;0,N165*100/M165,0)</f>
        <v>0</v>
      </c>
    </row>
    <row r="166" spans="1:16" ht="19.5" x14ac:dyDescent="0.3">
      <c r="A166" s="148"/>
      <c r="B166" s="149"/>
      <c r="C166" s="197" t="s">
        <v>16</v>
      </c>
      <c r="D166" s="395" t="s">
        <v>36</v>
      </c>
      <c r="E166" s="151"/>
      <c r="F166" s="151"/>
      <c r="G166" s="152"/>
      <c r="H166" s="196"/>
      <c r="I166" s="45"/>
      <c r="J166" s="45"/>
      <c r="K166" s="46"/>
      <c r="L166" s="46"/>
      <c r="M166" s="46"/>
      <c r="N166" s="46"/>
      <c r="O166" s="46"/>
      <c r="P166" s="46"/>
    </row>
    <row r="167" spans="1:16" ht="18.75" x14ac:dyDescent="0.25">
      <c r="A167" s="136"/>
      <c r="B167" s="41"/>
      <c r="C167" s="41"/>
      <c r="D167" s="254" t="s">
        <v>63</v>
      </c>
      <c r="E167" s="41"/>
      <c r="F167" s="41"/>
      <c r="G167" s="43"/>
      <c r="H167" s="147" t="s">
        <v>33</v>
      </c>
      <c r="I167" s="169">
        <f ca="1">IFERROR(__xludf.DUMMYFUNCTION("IMPORTRANGE(""https://docs.google.com/spreadsheets/d/1eHaY18a8A9IcSdp1K8H6x8fbOy06t2VsZHhMHf-1x7Y/edit?usp=sharing"",""แผน!Z15"")"),10)</f>
        <v>10</v>
      </c>
      <c r="J167" s="250">
        <v>0</v>
      </c>
      <c r="K167" s="47">
        <f ca="1">IF(I167&gt;0,J167*100/I167,0)</f>
        <v>0</v>
      </c>
      <c r="L167" s="46"/>
      <c r="M167" s="46"/>
      <c r="N167" s="46"/>
      <c r="O167" s="46"/>
      <c r="P167" s="46"/>
    </row>
    <row r="168" spans="1:16" ht="18.75" hidden="1" x14ac:dyDescent="0.25">
      <c r="A168" s="136"/>
      <c r="B168" s="41"/>
      <c r="C168" s="41"/>
      <c r="D168" s="279" t="s">
        <v>64</v>
      </c>
      <c r="E168" s="41"/>
      <c r="F168" s="41"/>
      <c r="G168" s="43"/>
      <c r="H168" s="199" t="s">
        <v>33</v>
      </c>
      <c r="I168" s="200">
        <f ca="1">I167</f>
        <v>10</v>
      </c>
      <c r="J168" s="201">
        <v>0</v>
      </c>
      <c r="K168" s="50">
        <f ca="1">IF(I168&gt;0,J168*100/I168,0)</f>
        <v>0</v>
      </c>
      <c r="L168" s="46"/>
      <c r="M168" s="46"/>
      <c r="N168" s="46"/>
      <c r="O168" s="46"/>
      <c r="P168" s="46"/>
    </row>
    <row r="169" spans="1:16" ht="18.75" hidden="1" x14ac:dyDescent="0.25">
      <c r="A169" s="202"/>
      <c r="B169" s="1"/>
      <c r="C169" s="1"/>
      <c r="D169" s="203" t="s">
        <v>65</v>
      </c>
      <c r="E169" s="1"/>
      <c r="F169" s="1"/>
      <c r="G169" s="54"/>
      <c r="H169" s="204" t="s">
        <v>33</v>
      </c>
      <c r="I169" s="205">
        <f ca="1">I167</f>
        <v>10</v>
      </c>
      <c r="J169" s="206">
        <v>0</v>
      </c>
      <c r="K169" s="207">
        <f ca="1">IF(I169&gt;0,J169*100/I169,0)</f>
        <v>0</v>
      </c>
      <c r="L169" s="57"/>
      <c r="M169" s="57"/>
      <c r="N169" s="57"/>
      <c r="O169" s="57"/>
      <c r="P169" s="57"/>
    </row>
    <row r="170" spans="1:16" ht="19.5" x14ac:dyDescent="0.3">
      <c r="A170" s="208" t="s">
        <v>66</v>
      </c>
      <c r="B170" s="209"/>
      <c r="C170" s="209"/>
      <c r="D170" s="209"/>
      <c r="E170" s="210"/>
      <c r="F170" s="210"/>
      <c r="G170" s="210"/>
      <c r="H170" s="210"/>
      <c r="I170" s="211"/>
      <c r="J170" s="211"/>
      <c r="K170" s="212"/>
      <c r="L170" s="212"/>
      <c r="M170" s="212"/>
      <c r="N170" s="212"/>
      <c r="O170" s="212"/>
      <c r="P170" s="213"/>
    </row>
    <row r="171" spans="1:16" ht="19.5" x14ac:dyDescent="0.3">
      <c r="A171" s="214" t="s">
        <v>67</v>
      </c>
      <c r="B171" s="215"/>
      <c r="C171" s="215"/>
      <c r="D171" s="216"/>
      <c r="E171" s="216"/>
      <c r="F171" s="216"/>
      <c r="G171" s="216"/>
      <c r="H171" s="217"/>
      <c r="I171" s="218"/>
      <c r="J171" s="218"/>
      <c r="K171" s="219"/>
      <c r="L171" s="219"/>
      <c r="M171" s="219"/>
      <c r="N171" s="219"/>
      <c r="O171" s="219"/>
      <c r="P171" s="219"/>
    </row>
    <row r="172" spans="1:16" ht="19.5" x14ac:dyDescent="0.3">
      <c r="A172" s="220"/>
      <c r="B172" s="221" t="s">
        <v>68</v>
      </c>
      <c r="C172" s="222"/>
      <c r="D172" s="151"/>
      <c r="E172" s="151"/>
      <c r="F172" s="151"/>
      <c r="G172" s="152"/>
      <c r="H172" s="223" t="s">
        <v>33</v>
      </c>
      <c r="I172" s="224">
        <f ca="1">I183+I184</f>
        <v>7</v>
      </c>
      <c r="J172" s="224">
        <f>J183+J184</f>
        <v>0</v>
      </c>
      <c r="K172" s="225">
        <f ca="1">IF(I172&gt;0,J172*100/I172,0)</f>
        <v>0</v>
      </c>
      <c r="L172" s="226"/>
      <c r="M172" s="226"/>
      <c r="N172" s="226"/>
      <c r="O172" s="226"/>
      <c r="P172" s="226"/>
    </row>
    <row r="173" spans="1:16" ht="19.5" x14ac:dyDescent="0.3">
      <c r="A173" s="136"/>
      <c r="B173" s="41"/>
      <c r="C173" s="197" t="s">
        <v>16</v>
      </c>
      <c r="D173" s="397" t="s">
        <v>17</v>
      </c>
      <c r="E173" s="41"/>
      <c r="F173" s="41"/>
      <c r="G173" s="43"/>
      <c r="H173" s="139" t="s">
        <v>12</v>
      </c>
      <c r="I173" s="45"/>
      <c r="J173" s="45"/>
      <c r="K173" s="46"/>
      <c r="L173" s="140">
        <f ca="1">L174+L175</f>
        <v>19590</v>
      </c>
      <c r="M173" s="140">
        <f ca="1">M174+M175</f>
        <v>19590</v>
      </c>
      <c r="N173" s="140">
        <f ca="1">N174+N175</f>
        <v>12330</v>
      </c>
      <c r="O173" s="140">
        <f ca="1">IF(L173&gt;0,N173*100/L173,0)</f>
        <v>62.940275650842267</v>
      </c>
      <c r="P173" s="140">
        <f ca="1">IF(M173&gt;0,N173*100/M173,0)</f>
        <v>62.940275650842267</v>
      </c>
    </row>
    <row r="174" spans="1:16" ht="18.75" hidden="1" x14ac:dyDescent="0.25">
      <c r="A174" s="136"/>
      <c r="B174" s="41"/>
      <c r="C174" s="41"/>
      <c r="D174" s="41"/>
      <c r="E174" s="279" t="s">
        <v>18</v>
      </c>
      <c r="F174" s="41"/>
      <c r="G174" s="43"/>
      <c r="H174" s="141" t="s">
        <v>12</v>
      </c>
      <c r="I174" s="45"/>
      <c r="J174" s="45"/>
      <c r="K174" s="46"/>
      <c r="L174" s="50">
        <f>L177+L180</f>
        <v>0</v>
      </c>
      <c r="M174" s="50">
        <f>M177+M180</f>
        <v>0</v>
      </c>
      <c r="N174" s="50">
        <f>N177+N180</f>
        <v>0</v>
      </c>
      <c r="O174" s="50">
        <f>IF(L174&gt;0,N174*100/L174,0)</f>
        <v>0</v>
      </c>
      <c r="P174" s="50">
        <f>IF(M174&gt;0,N174*100/M174,0)</f>
        <v>0</v>
      </c>
    </row>
    <row r="175" spans="1:16" ht="18.75" x14ac:dyDescent="0.25">
      <c r="A175" s="136"/>
      <c r="B175" s="41"/>
      <c r="C175" s="41"/>
      <c r="D175" s="41"/>
      <c r="E175" s="254" t="s">
        <v>19</v>
      </c>
      <c r="F175" s="41"/>
      <c r="G175" s="43"/>
      <c r="H175" s="142" t="s">
        <v>12</v>
      </c>
      <c r="I175" s="45"/>
      <c r="J175" s="45"/>
      <c r="K175" s="46"/>
      <c r="L175" s="47">
        <f ca="1">L178+L181</f>
        <v>19590</v>
      </c>
      <c r="M175" s="47">
        <f ca="1">M178+M181</f>
        <v>19590</v>
      </c>
      <c r="N175" s="47">
        <f ca="1">N178+N181</f>
        <v>12330</v>
      </c>
      <c r="O175" s="47">
        <f ca="1">IF(L175&gt;0,N175*100/L175,0)</f>
        <v>62.940275650842267</v>
      </c>
      <c r="P175" s="47">
        <f ca="1">IF(M175&gt;0,N175*100/M175,0)</f>
        <v>62.940275650842267</v>
      </c>
    </row>
    <row r="176" spans="1:16" ht="18.75" x14ac:dyDescent="0.25">
      <c r="A176" s="136"/>
      <c r="B176" s="41"/>
      <c r="C176" s="41"/>
      <c r="D176" s="42" t="s">
        <v>20</v>
      </c>
      <c r="E176" s="41"/>
      <c r="F176" s="41"/>
      <c r="G176" s="43"/>
      <c r="H176" s="143" t="s">
        <v>12</v>
      </c>
      <c r="I176" s="144"/>
      <c r="J176" s="144"/>
      <c r="K176" s="145"/>
      <c r="L176" s="47">
        <f ca="1">L177+L178</f>
        <v>19590</v>
      </c>
      <c r="M176" s="47">
        <f ca="1">M177+M178</f>
        <v>19590</v>
      </c>
      <c r="N176" s="47">
        <f ca="1">N177+N178</f>
        <v>12330</v>
      </c>
      <c r="O176" s="47">
        <f ca="1">IF(L176&gt;0,N176*100/L176,0)</f>
        <v>62.940275650842267</v>
      </c>
      <c r="P176" s="47">
        <f ca="1">IF(M176&gt;0,N176*100/M176,0)</f>
        <v>62.940275650842267</v>
      </c>
    </row>
    <row r="177" spans="1:16" ht="18.75" hidden="1" x14ac:dyDescent="0.25">
      <c r="A177" s="136"/>
      <c r="B177" s="41"/>
      <c r="C177" s="41"/>
      <c r="D177" s="41"/>
      <c r="E177" s="279" t="s">
        <v>34</v>
      </c>
      <c r="F177" s="41"/>
      <c r="G177" s="43"/>
      <c r="H177" s="146" t="s">
        <v>12</v>
      </c>
      <c r="I177" s="144"/>
      <c r="J177" s="144"/>
      <c r="K177" s="145"/>
      <c r="L177" s="50">
        <v>0</v>
      </c>
      <c r="M177" s="50">
        <v>0</v>
      </c>
      <c r="N177" s="50">
        <v>0</v>
      </c>
      <c r="O177" s="50">
        <f>IF(L177&gt;0,N177*100/L177,0)</f>
        <v>0</v>
      </c>
      <c r="P177" s="50">
        <f>IF(M177&gt;0,N177*100/M177,0)</f>
        <v>0</v>
      </c>
    </row>
    <row r="178" spans="1:16" ht="18.75" x14ac:dyDescent="0.25">
      <c r="A178" s="136"/>
      <c r="B178" s="41"/>
      <c r="C178" s="41"/>
      <c r="D178" s="41"/>
      <c r="E178" s="254" t="s">
        <v>35</v>
      </c>
      <c r="F178" s="41"/>
      <c r="G178" s="43"/>
      <c r="H178" s="143" t="s">
        <v>12</v>
      </c>
      <c r="I178" s="144"/>
      <c r="J178" s="144"/>
      <c r="K178" s="145"/>
      <c r="L178" s="47">
        <f ca="1">IFERROR(__xludf.DUMMYFUNCTION("IMPORTRANGE(""https://docs.google.com/spreadsheets/d/1-uDff_7J0KD5mKrp0Vvzr7lt3OU09vwQwhkpOPPYv2Y/edit?usp=sharing"",""งบพรบ!CK15"")"),19590)</f>
        <v>19590</v>
      </c>
      <c r="M178" s="47">
        <f ca="1">IFERROR(__xludf.DUMMYFUNCTION("IMPORTRANGE(""https://docs.google.com/spreadsheets/d/1-uDff_7J0KD5mKrp0Vvzr7lt3OU09vwQwhkpOPPYv2Y/edit?usp=sharing"",""งบพรบ!CP15"")"),19590)</f>
        <v>19590</v>
      </c>
      <c r="N178" s="47">
        <f ca="1">IFERROR(__xludf.DUMMYFUNCTION("IMPORTRANGE(""https://docs.google.com/spreadsheets/d/1-uDff_7J0KD5mKrp0Vvzr7lt3OU09vwQwhkpOPPYv2Y/edit?usp=sharing"",""งบพรบ!CR15"")"),12330)</f>
        <v>12330</v>
      </c>
      <c r="O178" s="47">
        <f ca="1">IF(L178&gt;0,N178*100/L178,0)</f>
        <v>62.940275650842267</v>
      </c>
      <c r="P178" s="47">
        <f ca="1">IF(M178&gt;0,N178*100/M178,0)</f>
        <v>62.940275650842267</v>
      </c>
    </row>
    <row r="179" spans="1:16" ht="18.75" x14ac:dyDescent="0.25">
      <c r="A179" s="136"/>
      <c r="B179" s="41"/>
      <c r="C179" s="41"/>
      <c r="D179" s="42" t="s">
        <v>21</v>
      </c>
      <c r="E179" s="41"/>
      <c r="F179" s="41"/>
      <c r="G179" s="43"/>
      <c r="H179" s="147" t="s">
        <v>12</v>
      </c>
      <c r="I179" s="144"/>
      <c r="J179" s="144"/>
      <c r="K179" s="145"/>
      <c r="L179" s="47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</row>
    <row r="180" spans="1:16" ht="18.75" hidden="1" x14ac:dyDescent="0.25">
      <c r="A180" s="136"/>
      <c r="B180" s="41"/>
      <c r="C180" s="41"/>
      <c r="D180" s="41"/>
      <c r="E180" s="279" t="s">
        <v>18</v>
      </c>
      <c r="F180" s="41"/>
      <c r="G180" s="43"/>
      <c r="H180" s="146" t="s">
        <v>12</v>
      </c>
      <c r="I180" s="144"/>
      <c r="J180" s="144"/>
      <c r="K180" s="145"/>
      <c r="L180" s="50">
        <v>0</v>
      </c>
      <c r="M180" s="50">
        <v>0</v>
      </c>
      <c r="N180" s="50">
        <v>0</v>
      </c>
      <c r="O180" s="50">
        <f>IF(L180&gt;0,N180*100/L180,0)</f>
        <v>0</v>
      </c>
      <c r="P180" s="50">
        <f>IF(M180&gt;0,N180*100/M180,0)</f>
        <v>0</v>
      </c>
    </row>
    <row r="181" spans="1:16" ht="18.75" x14ac:dyDescent="0.25">
      <c r="A181" s="136"/>
      <c r="B181" s="41"/>
      <c r="C181" s="41"/>
      <c r="D181" s="41"/>
      <c r="E181" s="254" t="s">
        <v>19</v>
      </c>
      <c r="F181" s="41"/>
      <c r="G181" s="43"/>
      <c r="H181" s="147" t="s">
        <v>12</v>
      </c>
      <c r="I181" s="144"/>
      <c r="J181" s="144"/>
      <c r="K181" s="145"/>
      <c r="L181" s="47">
        <f ca="1">IFERROR(__xludf.DUMMYFUNCTION("IMPORTRANGE(""https://docs.google.com/spreadsheets/d/1-uDff_7J0KD5mKrp0Vvzr7lt3OU09vwQwhkpOPPYv2Y/edit?usp=sharing"",""งบพรบ!CN15"")"),0)</f>
        <v>0</v>
      </c>
      <c r="M181" s="47">
        <f ca="1">IFERROR(__xludf.DUMMYFUNCTION("IMPORTRANGE(""https://docs.google.com/spreadsheets/d/1-uDff_7J0KD5mKrp0Vvzr7lt3OU09vwQwhkpOPPYv2Y/edit?usp=sharing"",""งบพรบ!CQ15"")"),0)</f>
        <v>0</v>
      </c>
      <c r="N181" s="47">
        <f ca="1">IFERROR(__xludf.DUMMYFUNCTION("IMPORTRANGE(""https://docs.google.com/spreadsheets/d/1-uDff_7J0KD5mKrp0Vvzr7lt3OU09vwQwhkpOPPYv2Y/edit?usp=sharing"",""งบพรบ!CS15"")"),0)</f>
        <v>0</v>
      </c>
      <c r="O181" s="47">
        <f ca="1">IF(L181&gt;0,N181*100/L181,0)</f>
        <v>0</v>
      </c>
      <c r="P181" s="47">
        <f ca="1">IF(M181&gt;0,N181*100/M181,0)</f>
        <v>0</v>
      </c>
    </row>
    <row r="182" spans="1:16" ht="19.5" x14ac:dyDescent="0.3">
      <c r="A182" s="148"/>
      <c r="B182" s="149"/>
      <c r="C182" s="197" t="s">
        <v>16</v>
      </c>
      <c r="D182" s="395" t="s">
        <v>36</v>
      </c>
      <c r="E182" s="151"/>
      <c r="F182" s="151"/>
      <c r="G182" s="152"/>
      <c r="H182" s="196"/>
      <c r="I182" s="45"/>
      <c r="J182" s="45"/>
      <c r="K182" s="46"/>
      <c r="L182" s="46"/>
      <c r="M182" s="46"/>
      <c r="N182" s="46"/>
      <c r="O182" s="46"/>
      <c r="P182" s="46"/>
    </row>
    <row r="183" spans="1:16" ht="18.75" x14ac:dyDescent="0.25">
      <c r="A183" s="227"/>
      <c r="B183" s="41"/>
      <c r="C183" s="228"/>
      <c r="D183" s="229" t="s">
        <v>69</v>
      </c>
      <c r="E183" s="41"/>
      <c r="F183" s="41"/>
      <c r="G183" s="43"/>
      <c r="H183" s="230" t="s">
        <v>33</v>
      </c>
      <c r="I183" s="169">
        <f ca="1">IFERROR(__xludf.DUMMYFUNCTION("IMPORTRANGE(""https://docs.google.com/spreadsheets/d/1eHaY18a8A9IcSdp1K8H6x8fbOy06t2VsZHhMHf-1x7Y/edit?usp=sharing"",""แผน!AA15"")"),7)</f>
        <v>7</v>
      </c>
      <c r="J183" s="250">
        <v>0</v>
      </c>
      <c r="K183" s="47">
        <f ca="1">IF(I183&gt;0,J183*100/I183,0)</f>
        <v>0</v>
      </c>
      <c r="L183" s="46"/>
      <c r="M183" s="46"/>
      <c r="N183" s="46"/>
      <c r="O183" s="46"/>
      <c r="P183" s="46"/>
    </row>
    <row r="184" spans="1:16" ht="18.75" hidden="1" x14ac:dyDescent="0.25">
      <c r="A184" s="227"/>
      <c r="B184" s="228"/>
      <c r="C184" s="228"/>
      <c r="D184" s="231" t="s">
        <v>70</v>
      </c>
      <c r="E184" s="41"/>
      <c r="F184" s="41"/>
      <c r="G184" s="43"/>
      <c r="H184" s="232" t="s">
        <v>33</v>
      </c>
      <c r="I184" s="200">
        <v>0</v>
      </c>
      <c r="J184" s="200">
        <v>0</v>
      </c>
      <c r="K184" s="50">
        <f>IF(I184&gt;0,J184*100/I184,0)</f>
        <v>0</v>
      </c>
      <c r="L184" s="46"/>
      <c r="M184" s="46"/>
      <c r="N184" s="46"/>
      <c r="O184" s="46"/>
      <c r="P184" s="46"/>
    </row>
    <row r="185" spans="1:16" ht="19.5" x14ac:dyDescent="0.3">
      <c r="A185" s="220"/>
      <c r="B185" s="221" t="s">
        <v>71</v>
      </c>
      <c r="C185" s="222"/>
      <c r="D185" s="151"/>
      <c r="E185" s="151"/>
      <c r="F185" s="151"/>
      <c r="G185" s="152"/>
      <c r="H185" s="223" t="s">
        <v>33</v>
      </c>
      <c r="I185" s="224">
        <f ca="1">I230+I231</f>
        <v>0</v>
      </c>
      <c r="J185" s="224">
        <f>J230+J231</f>
        <v>0</v>
      </c>
      <c r="K185" s="225">
        <f ca="1">IF(I185&gt;0,J185*100/I185,0)</f>
        <v>0</v>
      </c>
      <c r="L185" s="226"/>
      <c r="M185" s="226"/>
      <c r="N185" s="226"/>
      <c r="O185" s="226"/>
      <c r="P185" s="226"/>
    </row>
    <row r="186" spans="1:16" ht="19.5" x14ac:dyDescent="0.3">
      <c r="A186" s="136"/>
      <c r="B186" s="41"/>
      <c r="C186" s="197" t="s">
        <v>16</v>
      </c>
      <c r="D186" s="397" t="s">
        <v>17</v>
      </c>
      <c r="E186" s="41"/>
      <c r="F186" s="41"/>
      <c r="G186" s="43"/>
      <c r="H186" s="139" t="s">
        <v>12</v>
      </c>
      <c r="I186" s="45"/>
      <c r="J186" s="45"/>
      <c r="K186" s="46"/>
      <c r="L186" s="140">
        <f ca="1">L187+L188</f>
        <v>66500</v>
      </c>
      <c r="M186" s="140">
        <f ca="1">M187+M188</f>
        <v>40500</v>
      </c>
      <c r="N186" s="140">
        <f ca="1">N187+N188</f>
        <v>0</v>
      </c>
      <c r="O186" s="140">
        <f ca="1">IF(L186&gt;0,N186*100/L186,0)</f>
        <v>0</v>
      </c>
      <c r="P186" s="140">
        <f ca="1">IF(M186&gt;0,N186*100/M186,0)</f>
        <v>0</v>
      </c>
    </row>
    <row r="187" spans="1:16" ht="18.75" hidden="1" x14ac:dyDescent="0.25">
      <c r="A187" s="136"/>
      <c r="B187" s="41"/>
      <c r="C187" s="41"/>
      <c r="D187" s="41"/>
      <c r="E187" s="279" t="s">
        <v>18</v>
      </c>
      <c r="F187" s="41"/>
      <c r="G187" s="43"/>
      <c r="H187" s="141" t="s">
        <v>12</v>
      </c>
      <c r="I187" s="45"/>
      <c r="J187" s="45"/>
      <c r="K187" s="46"/>
      <c r="L187" s="50">
        <f>L190+L193</f>
        <v>0</v>
      </c>
      <c r="M187" s="50">
        <f>M190+M193</f>
        <v>0</v>
      </c>
      <c r="N187" s="50">
        <f>N190+N193</f>
        <v>0</v>
      </c>
      <c r="O187" s="50">
        <f>IF(L187&gt;0,N187*100/L187,0)</f>
        <v>0</v>
      </c>
      <c r="P187" s="50">
        <f>IF(M187&gt;0,N187*100/M187,0)</f>
        <v>0</v>
      </c>
    </row>
    <row r="188" spans="1:16" ht="18.75" x14ac:dyDescent="0.25">
      <c r="A188" s="136"/>
      <c r="B188" s="41"/>
      <c r="C188" s="41"/>
      <c r="D188" s="41"/>
      <c r="E188" s="254" t="s">
        <v>19</v>
      </c>
      <c r="F188" s="41"/>
      <c r="G188" s="43"/>
      <c r="H188" s="142" t="s">
        <v>12</v>
      </c>
      <c r="I188" s="45"/>
      <c r="J188" s="45"/>
      <c r="K188" s="46"/>
      <c r="L188" s="47">
        <f ca="1">L191+L194</f>
        <v>66500</v>
      </c>
      <c r="M188" s="47">
        <f ca="1">M191+M194</f>
        <v>40500</v>
      </c>
      <c r="N188" s="47">
        <f ca="1">N191+N194</f>
        <v>0</v>
      </c>
      <c r="O188" s="47">
        <f ca="1">IF(L188&gt;0,N188*100/L188,0)</f>
        <v>0</v>
      </c>
      <c r="P188" s="47">
        <f ca="1">IF(M188&gt;0,N188*100/M188,0)</f>
        <v>0</v>
      </c>
    </row>
    <row r="189" spans="1:16" ht="18.75" x14ac:dyDescent="0.25">
      <c r="A189" s="136"/>
      <c r="B189" s="41"/>
      <c r="C189" s="41"/>
      <c r="D189" s="42" t="s">
        <v>20</v>
      </c>
      <c r="E189" s="41"/>
      <c r="F189" s="41"/>
      <c r="G189" s="43"/>
      <c r="H189" s="143" t="s">
        <v>12</v>
      </c>
      <c r="I189" s="144"/>
      <c r="J189" s="144"/>
      <c r="K189" s="145"/>
      <c r="L189" s="47">
        <f ca="1">L190+L191</f>
        <v>66500</v>
      </c>
      <c r="M189" s="47">
        <f ca="1">M190+M191</f>
        <v>40500</v>
      </c>
      <c r="N189" s="47">
        <f ca="1">N190+N191</f>
        <v>0</v>
      </c>
      <c r="O189" s="47">
        <f ca="1">IF(L189&gt;0,N189*100/L189,0)</f>
        <v>0</v>
      </c>
      <c r="P189" s="47">
        <f ca="1">IF(M189&gt;0,N189*100/M189,0)</f>
        <v>0</v>
      </c>
    </row>
    <row r="190" spans="1:16" ht="18.75" hidden="1" x14ac:dyDescent="0.25">
      <c r="A190" s="136"/>
      <c r="B190" s="41"/>
      <c r="C190" s="41"/>
      <c r="D190" s="41"/>
      <c r="E190" s="279" t="s">
        <v>34</v>
      </c>
      <c r="F190" s="41"/>
      <c r="G190" s="43"/>
      <c r="H190" s="146" t="s">
        <v>12</v>
      </c>
      <c r="I190" s="144"/>
      <c r="J190" s="144"/>
      <c r="K190" s="145"/>
      <c r="L190" s="50">
        <v>0</v>
      </c>
      <c r="M190" s="50">
        <v>0</v>
      </c>
      <c r="N190" s="50">
        <v>0</v>
      </c>
      <c r="O190" s="50">
        <f>IF(L190&gt;0,N190*100/L190,0)</f>
        <v>0</v>
      </c>
      <c r="P190" s="50">
        <f>IF(M190&gt;0,N190*100/M190,0)</f>
        <v>0</v>
      </c>
    </row>
    <row r="191" spans="1:16" ht="18.75" x14ac:dyDescent="0.25">
      <c r="A191" s="136"/>
      <c r="B191" s="41"/>
      <c r="C191" s="41"/>
      <c r="D191" s="41"/>
      <c r="E191" s="254" t="s">
        <v>35</v>
      </c>
      <c r="F191" s="41"/>
      <c r="G191" s="43"/>
      <c r="H191" s="143" t="s">
        <v>12</v>
      </c>
      <c r="I191" s="144"/>
      <c r="J191" s="144"/>
      <c r="K191" s="145"/>
      <c r="L191" s="47">
        <f ca="1">IFERROR(__xludf.DUMMYFUNCTION("IMPORTRANGE(""https://docs.google.com/spreadsheets/d/1-uDff_7J0KD5mKrp0Vvzr7lt3OU09vwQwhkpOPPYv2Y/edit?usp=sharing"",""งบพรบ!CU15"")"),66500)</f>
        <v>66500</v>
      </c>
      <c r="M191" s="47">
        <f ca="1">IFERROR(__xludf.DUMMYFUNCTION("IMPORTRANGE(""https://docs.google.com/spreadsheets/d/1-uDff_7J0KD5mKrp0Vvzr7lt3OU09vwQwhkpOPPYv2Y/edit?usp=sharing"",""งบพรบ!CZ15"")"),40500)</f>
        <v>40500</v>
      </c>
      <c r="N191" s="47">
        <f ca="1">IFERROR(__xludf.DUMMYFUNCTION("IMPORTRANGE(""https://docs.google.com/spreadsheets/d/1-uDff_7J0KD5mKrp0Vvzr7lt3OU09vwQwhkpOPPYv2Y/edit?usp=sharing"",""งบพรบ!DB15"")"),0)</f>
        <v>0</v>
      </c>
      <c r="O191" s="47">
        <f ca="1">IF(L191&gt;0,N191*100/L191,0)</f>
        <v>0</v>
      </c>
      <c r="P191" s="47">
        <f ca="1">IF(M191&gt;0,N191*100/M191,0)</f>
        <v>0</v>
      </c>
    </row>
    <row r="192" spans="1:16" ht="18.75" x14ac:dyDescent="0.25">
      <c r="A192" s="136"/>
      <c r="B192" s="41"/>
      <c r="C192" s="41"/>
      <c r="D192" s="42" t="s">
        <v>21</v>
      </c>
      <c r="E192" s="41"/>
      <c r="F192" s="41"/>
      <c r="G192" s="43"/>
      <c r="H192" s="147" t="s">
        <v>12</v>
      </c>
      <c r="I192" s="144"/>
      <c r="J192" s="144"/>
      <c r="K192" s="145"/>
      <c r="L192" s="47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</row>
    <row r="193" spans="1:16" ht="18.75" hidden="1" x14ac:dyDescent="0.25">
      <c r="A193" s="136"/>
      <c r="B193" s="41"/>
      <c r="C193" s="41"/>
      <c r="D193" s="41"/>
      <c r="E193" s="279" t="s">
        <v>18</v>
      </c>
      <c r="F193" s="41"/>
      <c r="G193" s="43"/>
      <c r="H193" s="146" t="s">
        <v>12</v>
      </c>
      <c r="I193" s="144"/>
      <c r="J193" s="144"/>
      <c r="K193" s="145"/>
      <c r="L193" s="50">
        <v>0</v>
      </c>
      <c r="M193" s="50">
        <v>0</v>
      </c>
      <c r="N193" s="50">
        <v>0</v>
      </c>
      <c r="O193" s="50">
        <f>IF(L193&gt;0,N193*100/L193,0)</f>
        <v>0</v>
      </c>
      <c r="P193" s="50">
        <f>IF(M193&gt;0,N193*100/M193,0)</f>
        <v>0</v>
      </c>
    </row>
    <row r="194" spans="1:16" ht="18.75" x14ac:dyDescent="0.25">
      <c r="A194" s="136"/>
      <c r="B194" s="41"/>
      <c r="C194" s="41"/>
      <c r="D194" s="41"/>
      <c r="E194" s="254" t="s">
        <v>19</v>
      </c>
      <c r="F194" s="41"/>
      <c r="G194" s="43"/>
      <c r="H194" s="147" t="s">
        <v>12</v>
      </c>
      <c r="I194" s="144"/>
      <c r="J194" s="144"/>
      <c r="K194" s="145"/>
      <c r="L194" s="47">
        <f ca="1">IFERROR(__xludf.DUMMYFUNCTION("IMPORTRANGE(""https://docs.google.com/spreadsheets/d/1-uDff_7J0KD5mKrp0Vvzr7lt3OU09vwQwhkpOPPYv2Y/edit?usp=sharing"",""งบพรบ!CX15"")"),0)</f>
        <v>0</v>
      </c>
      <c r="M194" s="47">
        <f ca="1">IFERROR(__xludf.DUMMYFUNCTION("IMPORTRANGE(""https://docs.google.com/spreadsheets/d/1-uDff_7J0KD5mKrp0Vvzr7lt3OU09vwQwhkpOPPYv2Y/edit?usp=sharing"",""งบพรบ!DA15"")"),0)</f>
        <v>0</v>
      </c>
      <c r="N194" s="47">
        <f ca="1">IFERROR(__xludf.DUMMYFUNCTION("IMPORTRANGE(""https://docs.google.com/spreadsheets/d/1-uDff_7J0KD5mKrp0Vvzr7lt3OU09vwQwhkpOPPYv2Y/edit?usp=sharing"",""งบพรบ!DC15"")"),0)</f>
        <v>0</v>
      </c>
      <c r="O194" s="47">
        <f ca="1">IF(L194&gt;0,N194*100/L194,0)</f>
        <v>0</v>
      </c>
      <c r="P194" s="47">
        <f ca="1">IF(M194&gt;0,N194*100/M194,0)</f>
        <v>0</v>
      </c>
    </row>
    <row r="195" spans="1:16" ht="19.5" x14ac:dyDescent="0.3">
      <c r="A195" s="233"/>
      <c r="B195" s="234"/>
      <c r="C195" s="235" t="s">
        <v>72</v>
      </c>
      <c r="D195" s="236"/>
      <c r="E195" s="236"/>
      <c r="F195" s="236"/>
      <c r="G195" s="237"/>
      <c r="H195" s="238" t="s">
        <v>73</v>
      </c>
      <c r="I195" s="239">
        <f ca="1">I198</f>
        <v>4</v>
      </c>
      <c r="J195" s="239">
        <f>J198</f>
        <v>0</v>
      </c>
      <c r="K195" s="240">
        <f ca="1">IF(I195&gt;0,J195*100/I195,0)</f>
        <v>0</v>
      </c>
      <c r="L195" s="241"/>
      <c r="M195" s="241"/>
      <c r="N195" s="241"/>
      <c r="O195" s="241"/>
      <c r="P195" s="241"/>
    </row>
    <row r="196" spans="1:16" ht="19.5" x14ac:dyDescent="0.3">
      <c r="A196" s="136"/>
      <c r="B196" s="41"/>
      <c r="C196" s="197" t="s">
        <v>16</v>
      </c>
      <c r="D196" s="400" t="s">
        <v>17</v>
      </c>
      <c r="E196" s="41"/>
      <c r="F196" s="41"/>
      <c r="G196" s="43"/>
      <c r="H196" s="243" t="s">
        <v>12</v>
      </c>
      <c r="I196" s="45"/>
      <c r="J196" s="45"/>
      <c r="K196" s="46"/>
      <c r="L196" s="140">
        <f ca="1">IFERROR(__xludf.DUMMYFUNCTION("IMPORTRANGE(""https://docs.google.com/spreadsheets/d/1eHaY18a8A9IcSdp1K8H6x8fbOy06t2VsZHhMHf-1x7Y/edit?usp=sharing"",""แผน!AB15"")"),6000)</f>
        <v>6000</v>
      </c>
      <c r="M196" s="46"/>
      <c r="N196" s="244">
        <v>0</v>
      </c>
      <c r="O196" s="140">
        <f ca="1">IF(L196&gt;0,N196*100/L196,0)</f>
        <v>0</v>
      </c>
      <c r="P196" s="140">
        <f>IF(M196&gt;0,N196*100/M196,0)</f>
        <v>0</v>
      </c>
    </row>
    <row r="197" spans="1:16" ht="19.5" x14ac:dyDescent="0.3">
      <c r="A197" s="148"/>
      <c r="B197" s="149"/>
      <c r="C197" s="197" t="s">
        <v>16</v>
      </c>
      <c r="D197" s="395" t="s">
        <v>36</v>
      </c>
      <c r="E197" s="151"/>
      <c r="F197" s="151"/>
      <c r="G197" s="152"/>
      <c r="H197" s="153"/>
      <c r="I197" s="45"/>
      <c r="J197" s="45"/>
      <c r="K197" s="46"/>
      <c r="L197" s="46"/>
      <c r="M197" s="46"/>
      <c r="N197" s="46"/>
      <c r="O197" s="46"/>
      <c r="P197" s="46"/>
    </row>
    <row r="198" spans="1:16" ht="18.75" x14ac:dyDescent="0.25">
      <c r="A198" s="148"/>
      <c r="B198" s="149"/>
      <c r="C198" s="149"/>
      <c r="D198" s="159" t="s">
        <v>74</v>
      </c>
      <c r="E198" s="155"/>
      <c r="F198" s="155"/>
      <c r="G198" s="153"/>
      <c r="H198" s="251" t="s">
        <v>73</v>
      </c>
      <c r="I198" s="169">
        <f ca="1">IFERROR(__xludf.DUMMYFUNCTION("IMPORTRANGE(""https://docs.google.com/spreadsheets/d/1eHaY18a8A9IcSdp1K8H6x8fbOy06t2VsZHhMHf-1x7Y/edit?usp=sharing"",""แผน!AE15"")"),4)</f>
        <v>4</v>
      </c>
      <c r="J198" s="250">
        <v>0</v>
      </c>
      <c r="K198" s="47">
        <f ca="1">IF(I198&gt;0,J198*100/I198,0)</f>
        <v>0</v>
      </c>
      <c r="L198" s="46"/>
      <c r="M198" s="46"/>
      <c r="N198" s="46"/>
      <c r="O198" s="46"/>
      <c r="P198" s="46"/>
    </row>
    <row r="199" spans="1:16" ht="18.75" x14ac:dyDescent="0.25">
      <c r="A199" s="148"/>
      <c r="B199" s="149"/>
      <c r="C199" s="149"/>
      <c r="D199" s="159" t="s">
        <v>75</v>
      </c>
      <c r="E199" s="155"/>
      <c r="F199" s="155"/>
      <c r="G199" s="153"/>
      <c r="H199" s="230" t="s">
        <v>33</v>
      </c>
      <c r="I199" s="45"/>
      <c r="J199" s="169">
        <f>J200+J201</f>
        <v>0</v>
      </c>
      <c r="K199" s="46"/>
      <c r="L199" s="46"/>
      <c r="M199" s="46"/>
      <c r="N199" s="46"/>
      <c r="O199" s="46"/>
      <c r="P199" s="46"/>
    </row>
    <row r="200" spans="1:16" ht="18.75" x14ac:dyDescent="0.25">
      <c r="A200" s="148"/>
      <c r="B200" s="149"/>
      <c r="C200" s="149"/>
      <c r="D200" s="149"/>
      <c r="E200" s="159" t="s">
        <v>76</v>
      </c>
      <c r="F200" s="155"/>
      <c r="G200" s="153"/>
      <c r="H200" s="230" t="s">
        <v>33</v>
      </c>
      <c r="I200" s="45"/>
      <c r="J200" s="250">
        <v>0</v>
      </c>
      <c r="K200" s="46"/>
      <c r="L200" s="46"/>
      <c r="M200" s="46"/>
      <c r="N200" s="46"/>
      <c r="O200" s="46"/>
      <c r="P200" s="46"/>
    </row>
    <row r="201" spans="1:16" ht="18.75" x14ac:dyDescent="0.25">
      <c r="A201" s="148"/>
      <c r="B201" s="149"/>
      <c r="C201" s="149"/>
      <c r="D201" s="149"/>
      <c r="E201" s="159" t="s">
        <v>77</v>
      </c>
      <c r="F201" s="155"/>
      <c r="G201" s="153"/>
      <c r="H201" s="230" t="s">
        <v>33</v>
      </c>
      <c r="I201" s="45"/>
      <c r="J201" s="250">
        <v>0</v>
      </c>
      <c r="K201" s="46"/>
      <c r="L201" s="46"/>
      <c r="M201" s="46"/>
      <c r="N201" s="46"/>
      <c r="O201" s="46"/>
      <c r="P201" s="46"/>
    </row>
    <row r="202" spans="1:16" ht="19.5" x14ac:dyDescent="0.3">
      <c r="A202" s="233"/>
      <c r="B202" s="234"/>
      <c r="C202" s="235" t="s">
        <v>78</v>
      </c>
      <c r="D202" s="236"/>
      <c r="E202" s="236"/>
      <c r="F202" s="236"/>
      <c r="G202" s="237"/>
      <c r="H202" s="245" t="s">
        <v>79</v>
      </c>
      <c r="I202" s="239">
        <f ca="1">I209</f>
        <v>4</v>
      </c>
      <c r="J202" s="239">
        <f>J209</f>
        <v>0</v>
      </c>
      <c r="K202" s="240">
        <f ca="1">IF(I202&gt;0,J202*100/I202,0)</f>
        <v>0</v>
      </c>
      <c r="L202" s="241"/>
      <c r="M202" s="241"/>
      <c r="N202" s="241"/>
      <c r="O202" s="241"/>
      <c r="P202" s="241"/>
    </row>
    <row r="203" spans="1:16" ht="19.5" x14ac:dyDescent="0.3">
      <c r="A203" s="136"/>
      <c r="B203" s="41"/>
      <c r="C203" s="197" t="s">
        <v>16</v>
      </c>
      <c r="D203" s="400" t="s">
        <v>17</v>
      </c>
      <c r="E203" s="41"/>
      <c r="F203" s="41"/>
      <c r="G203" s="43"/>
      <c r="H203" s="243" t="s">
        <v>12</v>
      </c>
      <c r="I203" s="144"/>
      <c r="J203" s="144"/>
      <c r="K203" s="145"/>
      <c r="L203" s="140">
        <f ca="1">L204+L205+L206+L207</f>
        <v>52000</v>
      </c>
      <c r="M203" s="46"/>
      <c r="N203" s="140">
        <f>N204+N205+N206+N207</f>
        <v>0</v>
      </c>
      <c r="O203" s="140">
        <f ca="1">IF(L203&gt;0,N203*100/L203,0)</f>
        <v>0</v>
      </c>
      <c r="P203" s="140">
        <f>IF(M203&gt;0,N203*100/M203,0)</f>
        <v>0</v>
      </c>
    </row>
    <row r="204" spans="1:16" ht="18.75" x14ac:dyDescent="0.25">
      <c r="A204" s="136"/>
      <c r="B204" s="228"/>
      <c r="C204" s="41"/>
      <c r="D204" s="253" t="s">
        <v>153</v>
      </c>
      <c r="E204" s="41"/>
      <c r="F204" s="41"/>
      <c r="G204" s="43"/>
      <c r="H204" s="143" t="s">
        <v>12</v>
      </c>
      <c r="I204" s="144"/>
      <c r="J204" s="144"/>
      <c r="K204" s="145"/>
      <c r="L204" s="47">
        <f ca="1">IFERROR(__xludf.DUMMYFUNCTION("IMPORTRANGE(""https://docs.google.com/spreadsheets/d/1eHaY18a8A9IcSdp1K8H6x8fbOy06t2VsZHhMHf-1x7Y/edit?usp=sharing"",""แผน!AG15"")"),4000)</f>
        <v>4000</v>
      </c>
      <c r="M204" s="46"/>
      <c r="N204" s="248">
        <v>0</v>
      </c>
      <c r="O204" s="145"/>
      <c r="P204" s="46"/>
    </row>
    <row r="205" spans="1:16" ht="18.75" x14ac:dyDescent="0.25">
      <c r="A205" s="227"/>
      <c r="B205" s="228"/>
      <c r="C205" s="41"/>
      <c r="D205" s="254" t="s">
        <v>81</v>
      </c>
      <c r="E205" s="41"/>
      <c r="F205" s="41"/>
      <c r="G205" s="43"/>
      <c r="H205" s="44" t="s">
        <v>12</v>
      </c>
      <c r="I205" s="45"/>
      <c r="J205" s="45"/>
      <c r="K205" s="46"/>
      <c r="L205" s="47">
        <f ca="1">IFERROR(__xludf.DUMMYFUNCTION("IMPORTRANGE(""https://docs.google.com/spreadsheets/d/1eHaY18a8A9IcSdp1K8H6x8fbOy06t2VsZHhMHf-1x7Y/edit?usp=sharing"",""แผน!AH15"")"),0)</f>
        <v>0</v>
      </c>
      <c r="M205" s="46"/>
      <c r="N205" s="248">
        <v>0</v>
      </c>
      <c r="O205" s="145"/>
      <c r="P205" s="46"/>
    </row>
    <row r="206" spans="1:16" ht="18.75" x14ac:dyDescent="0.25">
      <c r="A206" s="227"/>
      <c r="B206" s="228"/>
      <c r="C206" s="41"/>
      <c r="D206" s="254" t="s">
        <v>82</v>
      </c>
      <c r="E206" s="41"/>
      <c r="F206" s="41"/>
      <c r="G206" s="43"/>
      <c r="H206" s="44" t="s">
        <v>12</v>
      </c>
      <c r="I206" s="45"/>
      <c r="J206" s="45"/>
      <c r="K206" s="46"/>
      <c r="L206" s="47">
        <f ca="1">IFERROR(__xludf.DUMMYFUNCTION("IMPORTRANGE(""https://docs.google.com/spreadsheets/d/1eHaY18a8A9IcSdp1K8H6x8fbOy06t2VsZHhMHf-1x7Y/edit?usp=sharing"",""แผน!AI15"")"),32000)</f>
        <v>32000</v>
      </c>
      <c r="M206" s="46"/>
      <c r="N206" s="248">
        <v>0</v>
      </c>
      <c r="O206" s="145"/>
      <c r="P206" s="46"/>
    </row>
    <row r="207" spans="1:16" ht="18.75" x14ac:dyDescent="0.25">
      <c r="A207" s="227"/>
      <c r="B207" s="228"/>
      <c r="C207" s="41"/>
      <c r="D207" s="254" t="s">
        <v>83</v>
      </c>
      <c r="E207" s="41"/>
      <c r="F207" s="41"/>
      <c r="G207" s="43"/>
      <c r="H207" s="44" t="s">
        <v>12</v>
      </c>
      <c r="I207" s="45"/>
      <c r="J207" s="45"/>
      <c r="K207" s="46"/>
      <c r="L207" s="47">
        <f ca="1">IFERROR(__xludf.DUMMYFUNCTION("IMPORTRANGE(""https://docs.google.com/spreadsheets/d/1eHaY18a8A9IcSdp1K8H6x8fbOy06t2VsZHhMHf-1x7Y/edit?usp=sharing"",""แผน!AJ15"")"),16000)</f>
        <v>16000</v>
      </c>
      <c r="M207" s="46"/>
      <c r="N207" s="248">
        <v>0</v>
      </c>
      <c r="O207" s="145"/>
      <c r="P207" s="46"/>
    </row>
    <row r="208" spans="1:16" ht="19.5" x14ac:dyDescent="0.3">
      <c r="A208" s="148"/>
      <c r="B208" s="149"/>
      <c r="C208" s="197" t="s">
        <v>16</v>
      </c>
      <c r="D208" s="395" t="s">
        <v>36</v>
      </c>
      <c r="E208" s="151"/>
      <c r="F208" s="151"/>
      <c r="G208" s="152"/>
      <c r="H208" s="153"/>
      <c r="I208" s="144"/>
      <c r="J208" s="144"/>
      <c r="K208" s="145"/>
      <c r="L208" s="145"/>
      <c r="M208" s="145"/>
      <c r="N208" s="145"/>
      <c r="O208" s="145"/>
      <c r="P208" s="145"/>
    </row>
    <row r="209" spans="1:16" ht="18.75" x14ac:dyDescent="0.25">
      <c r="A209" s="148"/>
      <c r="B209" s="149"/>
      <c r="C209" s="149"/>
      <c r="D209" s="154" t="s">
        <v>84</v>
      </c>
      <c r="E209" s="155"/>
      <c r="F209" s="155"/>
      <c r="G209" s="153"/>
      <c r="H209" s="249" t="s">
        <v>79</v>
      </c>
      <c r="I209" s="169">
        <f ca="1">IFERROR(__xludf.DUMMYFUNCTION("IMPORTRANGE(""https://docs.google.com/spreadsheets/d/1eHaY18a8A9IcSdp1K8H6x8fbOy06t2VsZHhMHf-1x7Y/edit?usp=sharing"",""แผน!AK15"")"),4)</f>
        <v>4</v>
      </c>
      <c r="J209" s="250">
        <v>0</v>
      </c>
      <c r="K209" s="163">
        <f ca="1">IF(I209&gt;0,J209*100/I209,0)</f>
        <v>0</v>
      </c>
      <c r="L209" s="46"/>
      <c r="M209" s="46"/>
      <c r="N209" s="46"/>
      <c r="O209" s="46"/>
      <c r="P209" s="46"/>
    </row>
    <row r="210" spans="1:16" ht="18.75" x14ac:dyDescent="0.25">
      <c r="A210" s="148"/>
      <c r="B210" s="149"/>
      <c r="C210" s="149"/>
      <c r="D210" s="159" t="s">
        <v>48</v>
      </c>
      <c r="E210" s="155"/>
      <c r="F210" s="155"/>
      <c r="G210" s="153"/>
      <c r="H210" s="153"/>
      <c r="I210" s="45"/>
      <c r="J210" s="45"/>
      <c r="K210" s="145"/>
      <c r="L210" s="46"/>
      <c r="M210" s="46"/>
      <c r="N210" s="46"/>
      <c r="O210" s="46"/>
      <c r="P210" s="46"/>
    </row>
    <row r="211" spans="1:16" ht="18.75" x14ac:dyDescent="0.25">
      <c r="A211" s="148"/>
      <c r="B211" s="149"/>
      <c r="C211" s="149"/>
      <c r="D211" s="155"/>
      <c r="E211" s="159" t="s">
        <v>85</v>
      </c>
      <c r="F211" s="155"/>
      <c r="G211" s="153"/>
      <c r="H211" s="249" t="s">
        <v>79</v>
      </c>
      <c r="I211" s="169">
        <f ca="1">IFERROR(__xludf.DUMMYFUNCTION("IMPORTRANGE(""https://docs.google.com/spreadsheets/d/1eHaY18a8A9IcSdp1K8H6x8fbOy06t2VsZHhMHf-1x7Y/edit?usp=sharing"",""แผน!AK15"")"),4)</f>
        <v>4</v>
      </c>
      <c r="J211" s="250">
        <v>0</v>
      </c>
      <c r="K211" s="163">
        <f ca="1">IF(I211&gt;0,J211*100/I211,0)</f>
        <v>0</v>
      </c>
      <c r="L211" s="46"/>
      <c r="M211" s="46"/>
      <c r="N211" s="46"/>
      <c r="O211" s="46"/>
      <c r="P211" s="46"/>
    </row>
    <row r="212" spans="1:16" ht="18.75" x14ac:dyDescent="0.25">
      <c r="A212" s="148"/>
      <c r="B212" s="149"/>
      <c r="C212" s="149"/>
      <c r="D212" s="155"/>
      <c r="E212" s="159" t="s">
        <v>86</v>
      </c>
      <c r="F212" s="155"/>
      <c r="G212" s="155"/>
      <c r="H212" s="251" t="s">
        <v>87</v>
      </c>
      <c r="I212" s="169">
        <f ca="1">IFERROR(__xludf.DUMMYFUNCTION("IMPORTRANGE(""https://docs.google.com/spreadsheets/d/1eHaY18a8A9IcSdp1K8H6x8fbOy06t2VsZHhMHf-1x7Y/edit?usp=sharing"",""แผน!AK15"")"),4)</f>
        <v>4</v>
      </c>
      <c r="J212" s="250">
        <v>0</v>
      </c>
      <c r="K212" s="163">
        <f ca="1">IF(I212&gt;0,J212*100/I212,0)</f>
        <v>0</v>
      </c>
      <c r="L212" s="46"/>
      <c r="M212" s="46"/>
      <c r="N212" s="46"/>
      <c r="O212" s="46"/>
      <c r="P212" s="46"/>
    </row>
    <row r="213" spans="1:16" ht="19.5" hidden="1" x14ac:dyDescent="0.3">
      <c r="A213" s="233"/>
      <c r="B213" s="234"/>
      <c r="C213" s="235" t="s">
        <v>88</v>
      </c>
      <c r="D213" s="236"/>
      <c r="E213" s="236"/>
      <c r="F213" s="236"/>
      <c r="G213" s="237"/>
      <c r="H213" s="245" t="s">
        <v>79</v>
      </c>
      <c r="I213" s="239">
        <f ca="1">I220</f>
        <v>0</v>
      </c>
      <c r="J213" s="239">
        <f>J220</f>
        <v>0</v>
      </c>
      <c r="K213" s="240">
        <f ca="1">IF(I213&gt;0,J213*100/I213,0)</f>
        <v>0</v>
      </c>
      <c r="L213" s="241"/>
      <c r="M213" s="241"/>
      <c r="N213" s="241"/>
      <c r="O213" s="241"/>
      <c r="P213" s="241"/>
    </row>
    <row r="214" spans="1:16" ht="19.5" hidden="1" x14ac:dyDescent="0.3">
      <c r="A214" s="136"/>
      <c r="B214" s="41"/>
      <c r="C214" s="197" t="s">
        <v>16</v>
      </c>
      <c r="D214" s="400" t="s">
        <v>17</v>
      </c>
      <c r="E214" s="41"/>
      <c r="F214" s="41"/>
      <c r="G214" s="43"/>
      <c r="H214" s="243" t="s">
        <v>12</v>
      </c>
      <c r="I214" s="144"/>
      <c r="J214" s="144"/>
      <c r="K214" s="145"/>
      <c r="L214" s="140">
        <f ca="1">L215+L216+L217</f>
        <v>0</v>
      </c>
      <c r="M214" s="46"/>
      <c r="N214" s="140">
        <f>N215+N216+N217</f>
        <v>0</v>
      </c>
      <c r="O214" s="140">
        <f ca="1">IF(L214&gt;0,N214*100/L214,0)</f>
        <v>0</v>
      </c>
      <c r="P214" s="140">
        <f>IF(M214&gt;0,N214*100/M214,0)</f>
        <v>0</v>
      </c>
    </row>
    <row r="215" spans="1:16" ht="18.75" hidden="1" x14ac:dyDescent="0.25">
      <c r="A215" s="136"/>
      <c r="B215" s="228"/>
      <c r="C215" s="41"/>
      <c r="D215" s="254" t="s">
        <v>80</v>
      </c>
      <c r="E215" s="41"/>
      <c r="F215" s="41"/>
      <c r="G215" s="43"/>
      <c r="H215" s="143" t="s">
        <v>12</v>
      </c>
      <c r="I215" s="144"/>
      <c r="J215" s="144"/>
      <c r="K215" s="145"/>
      <c r="L215" s="47">
        <f ca="1">IFERROR(__xludf.DUMMYFUNCTION("IMPORTRANGE(""https://docs.google.com/spreadsheets/d/1eHaY18a8A9IcSdp1K8H6x8fbOy06t2VsZHhMHf-1x7Y/edit?usp=sharing"",""แผน!AM15"")"),0)</f>
        <v>0</v>
      </c>
      <c r="M215" s="46"/>
      <c r="N215" s="248">
        <v>0</v>
      </c>
      <c r="O215" s="145"/>
      <c r="P215" s="46"/>
    </row>
    <row r="216" spans="1:16" ht="18.75" hidden="1" x14ac:dyDescent="0.25">
      <c r="A216" s="227"/>
      <c r="B216" s="228"/>
      <c r="C216" s="228"/>
      <c r="D216" s="254" t="s">
        <v>89</v>
      </c>
      <c r="E216" s="41"/>
      <c r="F216" s="41"/>
      <c r="G216" s="43"/>
      <c r="H216" s="143" t="s">
        <v>12</v>
      </c>
      <c r="I216" s="45"/>
      <c r="J216" s="45"/>
      <c r="K216" s="46"/>
      <c r="L216" s="47">
        <f ca="1">IFERROR(__xludf.DUMMYFUNCTION("IMPORTRANGE(""https://docs.google.com/spreadsheets/d/1eHaY18a8A9IcSdp1K8H6x8fbOy06t2VsZHhMHf-1x7Y/edit?usp=sharing"",""แผน!AN15"")"),0)</f>
        <v>0</v>
      </c>
      <c r="M216" s="46"/>
      <c r="N216" s="248">
        <v>0</v>
      </c>
      <c r="O216" s="145"/>
      <c r="P216" s="46"/>
    </row>
    <row r="217" spans="1:16" ht="18.75" hidden="1" x14ac:dyDescent="0.25">
      <c r="A217" s="227"/>
      <c r="B217" s="228"/>
      <c r="C217" s="228"/>
      <c r="D217" s="254" t="s">
        <v>82</v>
      </c>
      <c r="E217" s="41"/>
      <c r="F217" s="41"/>
      <c r="G217" s="43"/>
      <c r="H217" s="143" t="s">
        <v>12</v>
      </c>
      <c r="I217" s="45"/>
      <c r="J217" s="45"/>
      <c r="K217" s="46"/>
      <c r="L217" s="47">
        <f ca="1">IFERROR(__xludf.DUMMYFUNCTION("IMPORTRANGE(""https://docs.google.com/spreadsheets/d/1eHaY18a8A9IcSdp1K8H6x8fbOy06t2VsZHhMHf-1x7Y/edit?usp=sharing"",""แผน!AO15"")"),0)</f>
        <v>0</v>
      </c>
      <c r="M217" s="46"/>
      <c r="N217" s="248">
        <v>0</v>
      </c>
      <c r="O217" s="145"/>
      <c r="P217" s="46"/>
    </row>
    <row r="218" spans="1:16" ht="19.5" hidden="1" x14ac:dyDescent="0.3">
      <c r="A218" s="148"/>
      <c r="B218" s="149"/>
      <c r="C218" s="252" t="s">
        <v>16</v>
      </c>
      <c r="D218" s="395" t="s">
        <v>36</v>
      </c>
      <c r="E218" s="151"/>
      <c r="F218" s="151"/>
      <c r="G218" s="152"/>
      <c r="H218" s="153"/>
      <c r="I218" s="144"/>
      <c r="J218" s="45"/>
      <c r="K218" s="46"/>
      <c r="L218" s="46"/>
      <c r="M218" s="46"/>
      <c r="N218" s="46"/>
      <c r="O218" s="145"/>
      <c r="P218" s="145"/>
    </row>
    <row r="219" spans="1:16" ht="18.75" hidden="1" x14ac:dyDescent="0.25">
      <c r="A219" s="148"/>
      <c r="B219" s="149"/>
      <c r="C219" s="149"/>
      <c r="D219" s="154" t="s">
        <v>90</v>
      </c>
      <c r="E219" s="155"/>
      <c r="F219" s="155"/>
      <c r="G219" s="153"/>
      <c r="H219" s="249" t="s">
        <v>79</v>
      </c>
      <c r="I219" s="169">
        <f ca="1">IFERROR(__xludf.DUMMYFUNCTION("IMPORTRANGE(""https://docs.google.com/spreadsheets/d/1eHaY18a8A9IcSdp1K8H6x8fbOy06t2VsZHhMHf-1x7Y/edit?usp=sharing"",""แผน!AP15"")"),0)</f>
        <v>0</v>
      </c>
      <c r="J219" s="250">
        <v>0</v>
      </c>
      <c r="K219" s="47">
        <f ca="1">IF(I219&gt;0,J219*100/I219,0)</f>
        <v>0</v>
      </c>
      <c r="L219" s="46"/>
      <c r="M219" s="46"/>
      <c r="N219" s="46"/>
      <c r="O219" s="46"/>
      <c r="P219" s="46"/>
    </row>
    <row r="220" spans="1:16" ht="18.75" hidden="1" x14ac:dyDescent="0.25">
      <c r="A220" s="148"/>
      <c r="B220" s="149"/>
      <c r="C220" s="149"/>
      <c r="D220" s="154" t="s">
        <v>91</v>
      </c>
      <c r="E220" s="155"/>
      <c r="F220" s="155"/>
      <c r="G220" s="153"/>
      <c r="H220" s="249" t="s">
        <v>79</v>
      </c>
      <c r="I220" s="169">
        <f ca="1">IFERROR(__xludf.DUMMYFUNCTION("IMPORTRANGE(""https://docs.google.com/spreadsheets/d/1eHaY18a8A9IcSdp1K8H6x8fbOy06t2VsZHhMHf-1x7Y/edit?usp=sharing"",""แผน!AP15"")"),0)</f>
        <v>0</v>
      </c>
      <c r="J220" s="250">
        <v>0</v>
      </c>
      <c r="K220" s="47">
        <f ca="1">IF(I220&gt;0,J220*100/I220,0)</f>
        <v>0</v>
      </c>
      <c r="L220" s="46"/>
      <c r="M220" s="46"/>
      <c r="N220" s="46"/>
      <c r="O220" s="46"/>
      <c r="P220" s="46"/>
    </row>
    <row r="221" spans="1:16" ht="19.5" x14ac:dyDescent="0.3">
      <c r="A221" s="233"/>
      <c r="B221" s="234"/>
      <c r="C221" s="235" t="s">
        <v>92</v>
      </c>
      <c r="D221" s="236"/>
      <c r="E221" s="236"/>
      <c r="F221" s="236"/>
      <c r="G221" s="237"/>
      <c r="H221" s="238" t="s">
        <v>93</v>
      </c>
      <c r="I221" s="239">
        <f ca="1">I229</f>
        <v>60000</v>
      </c>
      <c r="J221" s="239">
        <f>J229</f>
        <v>0</v>
      </c>
      <c r="K221" s="240">
        <f ca="1">IF(I221&gt;0,J221*100/I221,0)</f>
        <v>0</v>
      </c>
      <c r="L221" s="241"/>
      <c r="M221" s="241"/>
      <c r="N221" s="241"/>
      <c r="O221" s="241"/>
      <c r="P221" s="241"/>
    </row>
    <row r="222" spans="1:16" ht="19.5" x14ac:dyDescent="0.3">
      <c r="A222" s="136"/>
      <c r="B222" s="41"/>
      <c r="C222" s="197" t="s">
        <v>16</v>
      </c>
      <c r="D222" s="400" t="s">
        <v>17</v>
      </c>
      <c r="E222" s="41"/>
      <c r="F222" s="41"/>
      <c r="G222" s="43"/>
      <c r="H222" s="243" t="s">
        <v>12</v>
      </c>
      <c r="I222" s="144"/>
      <c r="J222" s="144"/>
      <c r="K222" s="145"/>
      <c r="L222" s="140">
        <f ca="1">L223+L224+L225</f>
        <v>8500</v>
      </c>
      <c r="M222" s="46"/>
      <c r="N222" s="140">
        <f>N223+N224+N225</f>
        <v>0</v>
      </c>
      <c r="O222" s="140">
        <f ca="1">IF(L222&gt;0,N222*100/L222,0)</f>
        <v>0</v>
      </c>
      <c r="P222" s="140">
        <f>IF(M222&gt;0,N222*100/M222,0)</f>
        <v>0</v>
      </c>
    </row>
    <row r="223" spans="1:16" ht="18.75" x14ac:dyDescent="0.25">
      <c r="A223" s="136"/>
      <c r="B223" s="228"/>
      <c r="C223" s="41"/>
      <c r="D223" s="253" t="s">
        <v>94</v>
      </c>
      <c r="E223" s="41"/>
      <c r="F223" s="41"/>
      <c r="G223" s="43"/>
      <c r="H223" s="143" t="s">
        <v>12</v>
      </c>
      <c r="I223" s="144"/>
      <c r="J223" s="144"/>
      <c r="K223" s="145"/>
      <c r="L223" s="47">
        <f ca="1">IFERROR(__xludf.DUMMYFUNCTION("IMPORTRANGE(""https://docs.google.com/spreadsheets/d/1eHaY18a8A9IcSdp1K8H6x8fbOy06t2VsZHhMHf-1x7Y/edit?usp=sharing"",""แผน!AR15"")"),7000)</f>
        <v>7000</v>
      </c>
      <c r="M223" s="46"/>
      <c r="N223" s="248">
        <v>0</v>
      </c>
      <c r="O223" s="145"/>
      <c r="P223" s="46"/>
    </row>
    <row r="224" spans="1:16" ht="18.75" x14ac:dyDescent="0.25">
      <c r="A224" s="227"/>
      <c r="B224" s="228"/>
      <c r="C224" s="228"/>
      <c r="D224" s="254" t="s">
        <v>95</v>
      </c>
      <c r="E224" s="41"/>
      <c r="F224" s="41"/>
      <c r="G224" s="43"/>
      <c r="H224" s="143" t="s">
        <v>12</v>
      </c>
      <c r="I224" s="45"/>
      <c r="J224" s="45"/>
      <c r="K224" s="46"/>
      <c r="L224" s="47">
        <f ca="1">IFERROR(__xludf.DUMMYFUNCTION("IMPORTRANGE(""https://docs.google.com/spreadsheets/d/1eHaY18a8A9IcSdp1K8H6x8fbOy06t2VsZHhMHf-1x7Y/edit?usp=sharing"",""แผน!AS15"")"),1500)</f>
        <v>1500</v>
      </c>
      <c r="M224" s="46"/>
      <c r="N224" s="248">
        <v>0</v>
      </c>
      <c r="O224" s="145"/>
      <c r="P224" s="46"/>
    </row>
    <row r="225" spans="1:16" ht="18.75" x14ac:dyDescent="0.25">
      <c r="A225" s="227"/>
      <c r="B225" s="228"/>
      <c r="C225" s="228"/>
      <c r="D225" s="254" t="s">
        <v>82</v>
      </c>
      <c r="E225" s="41"/>
      <c r="F225" s="41"/>
      <c r="G225" s="43"/>
      <c r="H225" s="143" t="s">
        <v>12</v>
      </c>
      <c r="I225" s="45"/>
      <c r="J225" s="45"/>
      <c r="K225" s="46"/>
      <c r="L225" s="47">
        <f ca="1">IFERROR(__xludf.DUMMYFUNCTION("IMPORTRANGE(""https://docs.google.com/spreadsheets/d/1eHaY18a8A9IcSdp1K8H6x8fbOy06t2VsZHhMHf-1x7Y/edit?usp=sharing"",""แผน!AT15"")"),0)</f>
        <v>0</v>
      </c>
      <c r="M225" s="46"/>
      <c r="N225" s="248">
        <v>0</v>
      </c>
      <c r="O225" s="145"/>
      <c r="P225" s="46"/>
    </row>
    <row r="226" spans="1:16" ht="19.5" x14ac:dyDescent="0.3">
      <c r="A226" s="148"/>
      <c r="B226" s="149"/>
      <c r="C226" s="252" t="s">
        <v>16</v>
      </c>
      <c r="D226" s="395" t="s">
        <v>36</v>
      </c>
      <c r="E226" s="151"/>
      <c r="F226" s="151"/>
      <c r="G226" s="152"/>
      <c r="H226" s="153"/>
      <c r="I226" s="144"/>
      <c r="J226" s="144"/>
      <c r="K226" s="145"/>
      <c r="L226" s="145"/>
      <c r="M226" s="145"/>
      <c r="N226" s="145"/>
      <c r="O226" s="145"/>
      <c r="P226" s="145"/>
    </row>
    <row r="227" spans="1:16" ht="18.75" x14ac:dyDescent="0.25">
      <c r="A227" s="148"/>
      <c r="B227" s="149"/>
      <c r="C227" s="149"/>
      <c r="D227" s="254" t="s">
        <v>96</v>
      </c>
      <c r="E227" s="155"/>
      <c r="F227" s="155"/>
      <c r="G227" s="153"/>
      <c r="H227" s="153"/>
      <c r="I227" s="45"/>
      <c r="J227" s="45"/>
      <c r="K227" s="145"/>
      <c r="L227" s="145"/>
      <c r="M227" s="145"/>
      <c r="N227" s="145"/>
      <c r="O227" s="145"/>
      <c r="P227" s="145"/>
    </row>
    <row r="228" spans="1:16" ht="18.75" x14ac:dyDescent="0.25">
      <c r="A228" s="148"/>
      <c r="B228" s="149"/>
      <c r="C228" s="149"/>
      <c r="D228" s="149"/>
      <c r="E228" s="154" t="s">
        <v>97</v>
      </c>
      <c r="F228" s="155"/>
      <c r="G228" s="153"/>
      <c r="H228" s="251" t="s">
        <v>93</v>
      </c>
      <c r="I228" s="169">
        <f ca="1">IFERROR(__xludf.DUMMYFUNCTION("IMPORTRANGE(""https://docs.google.com/spreadsheets/d/1eHaY18a8A9IcSdp1K8H6x8fbOy06t2VsZHhMHf-1x7Y/edit?usp=sharing"",""แผน!AV15"")"),60000)</f>
        <v>60000</v>
      </c>
      <c r="J228" s="250">
        <v>0</v>
      </c>
      <c r="K228" s="163">
        <f ca="1">IF(I228&gt;0,J228*100/I228,0)</f>
        <v>0</v>
      </c>
      <c r="L228" s="145"/>
      <c r="M228" s="145"/>
      <c r="N228" s="145"/>
      <c r="O228" s="145"/>
      <c r="P228" s="145"/>
    </row>
    <row r="229" spans="1:16" ht="18.75" x14ac:dyDescent="0.25">
      <c r="A229" s="148"/>
      <c r="B229" s="149"/>
      <c r="C229" s="149"/>
      <c r="D229" s="149"/>
      <c r="E229" s="154" t="s">
        <v>98</v>
      </c>
      <c r="F229" s="155"/>
      <c r="G229" s="153"/>
      <c r="H229" s="251" t="s">
        <v>93</v>
      </c>
      <c r="I229" s="169">
        <f ca="1">IFERROR(__xludf.DUMMYFUNCTION("IMPORTRANGE(""https://docs.google.com/spreadsheets/d/1eHaY18a8A9IcSdp1K8H6x8fbOy06t2VsZHhMHf-1x7Y/edit?usp=sharing"",""แผน!AV15"")"),60000)</f>
        <v>60000</v>
      </c>
      <c r="J229" s="250">
        <v>0</v>
      </c>
      <c r="K229" s="163">
        <f ca="1">IF(I229&gt;0,J229*100/I229,0)</f>
        <v>0</v>
      </c>
      <c r="L229" s="46"/>
      <c r="M229" s="46"/>
      <c r="N229" s="46"/>
      <c r="O229" s="46"/>
      <c r="P229" s="46"/>
    </row>
    <row r="230" spans="1:16" ht="18.75" x14ac:dyDescent="0.25">
      <c r="A230" s="148"/>
      <c r="B230" s="149"/>
      <c r="C230" s="149"/>
      <c r="D230" s="254" t="s">
        <v>99</v>
      </c>
      <c r="E230" s="155"/>
      <c r="F230" s="155"/>
      <c r="G230" s="153"/>
      <c r="H230" s="251" t="s">
        <v>33</v>
      </c>
      <c r="I230" s="169">
        <f ca="1">IFERROR(__xludf.DUMMYFUNCTION("IMPORTRANGE(""https://docs.google.com/spreadsheets/d/1eHaY18a8A9IcSdp1K8H6x8fbOy06t2VsZHhMHf-1x7Y/edit?usp=sharing"",""แผน!AU15"")"),0)</f>
        <v>0</v>
      </c>
      <c r="J230" s="250">
        <v>0</v>
      </c>
      <c r="K230" s="163">
        <f ca="1">IF(I230&gt;0,J230*100/I230,0)</f>
        <v>0</v>
      </c>
      <c r="L230" s="46"/>
      <c r="M230" s="46"/>
      <c r="N230" s="46"/>
      <c r="O230" s="46"/>
      <c r="P230" s="46"/>
    </row>
    <row r="231" spans="1:16" ht="19.5" hidden="1" x14ac:dyDescent="0.3">
      <c r="A231" s="233"/>
      <c r="B231" s="234"/>
      <c r="C231" s="235" t="s">
        <v>100</v>
      </c>
      <c r="D231" s="236"/>
      <c r="E231" s="236"/>
      <c r="F231" s="236"/>
      <c r="G231" s="237"/>
      <c r="H231" s="238" t="s">
        <v>33</v>
      </c>
      <c r="I231" s="239">
        <f ca="1">I242+I253</f>
        <v>0</v>
      </c>
      <c r="J231" s="239">
        <f>J242+J253</f>
        <v>0</v>
      </c>
      <c r="K231" s="240">
        <f ca="1">IF(I231&gt;0,J231*100/I231,0)</f>
        <v>0</v>
      </c>
      <c r="L231" s="241"/>
      <c r="M231" s="241"/>
      <c r="N231" s="241"/>
      <c r="O231" s="241"/>
      <c r="P231" s="241"/>
    </row>
    <row r="232" spans="1:16" ht="19.5" hidden="1" x14ac:dyDescent="0.3">
      <c r="A232" s="136"/>
      <c r="B232" s="41"/>
      <c r="C232" s="197" t="s">
        <v>16</v>
      </c>
      <c r="D232" s="397" t="s">
        <v>17</v>
      </c>
      <c r="E232" s="41"/>
      <c r="F232" s="41"/>
      <c r="G232" s="43"/>
      <c r="H232" s="243" t="s">
        <v>12</v>
      </c>
      <c r="I232" s="144"/>
      <c r="J232" s="144"/>
      <c r="K232" s="145"/>
      <c r="L232" s="140">
        <f ca="1">L243+L254</f>
        <v>0</v>
      </c>
      <c r="M232" s="46"/>
      <c r="N232" s="140">
        <f>N243+N254</f>
        <v>0</v>
      </c>
      <c r="O232" s="46"/>
      <c r="P232" s="46"/>
    </row>
    <row r="233" spans="1:16" ht="18.75" hidden="1" x14ac:dyDescent="0.25">
      <c r="A233" s="136"/>
      <c r="B233" s="228"/>
      <c r="C233" s="41"/>
      <c r="D233" s="254" t="s">
        <v>80</v>
      </c>
      <c r="E233" s="41"/>
      <c r="F233" s="41"/>
      <c r="G233" s="43"/>
      <c r="H233" s="143" t="s">
        <v>12</v>
      </c>
      <c r="I233" s="144"/>
      <c r="J233" s="144"/>
      <c r="K233" s="145"/>
      <c r="L233" s="47">
        <f ca="1">L244+L255</f>
        <v>0</v>
      </c>
      <c r="M233" s="46"/>
      <c r="N233" s="47">
        <f>N244+N255</f>
        <v>0</v>
      </c>
      <c r="O233" s="46"/>
      <c r="P233" s="46"/>
    </row>
    <row r="234" spans="1:16" ht="18.75" hidden="1" x14ac:dyDescent="0.25">
      <c r="A234" s="227"/>
      <c r="B234" s="228"/>
      <c r="C234" s="228"/>
      <c r="D234" s="254" t="s">
        <v>82</v>
      </c>
      <c r="E234" s="41"/>
      <c r="F234" s="41"/>
      <c r="G234" s="43"/>
      <c r="H234" s="143" t="s">
        <v>12</v>
      </c>
      <c r="I234" s="45"/>
      <c r="J234" s="45"/>
      <c r="K234" s="46"/>
      <c r="L234" s="47">
        <f ca="1">L245+L256</f>
        <v>0</v>
      </c>
      <c r="M234" s="46"/>
      <c r="N234" s="47">
        <f>N245+N256</f>
        <v>0</v>
      </c>
      <c r="O234" s="46"/>
      <c r="P234" s="46"/>
    </row>
    <row r="235" spans="1:16" ht="18.75" hidden="1" x14ac:dyDescent="0.25">
      <c r="A235" s="227"/>
      <c r="B235" s="228"/>
      <c r="C235" s="228"/>
      <c r="D235" s="254" t="s">
        <v>101</v>
      </c>
      <c r="E235" s="41"/>
      <c r="F235" s="41"/>
      <c r="G235" s="43"/>
      <c r="H235" s="143" t="s">
        <v>12</v>
      </c>
      <c r="I235" s="45"/>
      <c r="J235" s="45"/>
      <c r="K235" s="46"/>
      <c r="L235" s="47">
        <f ca="1">L246+L257</f>
        <v>0</v>
      </c>
      <c r="M235" s="46"/>
      <c r="N235" s="47">
        <f>N246+N257</f>
        <v>0</v>
      </c>
      <c r="O235" s="46"/>
      <c r="P235" s="46"/>
    </row>
    <row r="236" spans="1:16" ht="18.75" hidden="1" x14ac:dyDescent="0.25">
      <c r="A236" s="227"/>
      <c r="B236" s="228"/>
      <c r="C236" s="228"/>
      <c r="D236" s="254" t="s">
        <v>102</v>
      </c>
      <c r="E236" s="41"/>
      <c r="F236" s="41"/>
      <c r="G236" s="43"/>
      <c r="H236" s="143" t="s">
        <v>12</v>
      </c>
      <c r="I236" s="45"/>
      <c r="J236" s="45"/>
      <c r="K236" s="46"/>
      <c r="L236" s="47">
        <f ca="1">L247+L258</f>
        <v>0</v>
      </c>
      <c r="M236" s="46"/>
      <c r="N236" s="47">
        <f>N247+N258</f>
        <v>0</v>
      </c>
      <c r="O236" s="46"/>
      <c r="P236" s="46"/>
    </row>
    <row r="237" spans="1:16" ht="19.5" hidden="1" x14ac:dyDescent="0.3">
      <c r="A237" s="148"/>
      <c r="B237" s="149"/>
      <c r="C237" s="252" t="s">
        <v>16</v>
      </c>
      <c r="D237" s="395" t="s">
        <v>36</v>
      </c>
      <c r="E237" s="151"/>
      <c r="F237" s="151"/>
      <c r="G237" s="152"/>
      <c r="H237" s="153"/>
      <c r="I237" s="144"/>
      <c r="J237" s="45"/>
      <c r="K237" s="46"/>
      <c r="L237" s="46"/>
      <c r="M237" s="46"/>
      <c r="N237" s="46"/>
      <c r="O237" s="145"/>
      <c r="P237" s="145"/>
    </row>
    <row r="238" spans="1:16" ht="18.75" hidden="1" x14ac:dyDescent="0.25">
      <c r="A238" s="148"/>
      <c r="B238" s="149"/>
      <c r="C238" s="149"/>
      <c r="D238" s="159" t="s">
        <v>103</v>
      </c>
      <c r="E238" s="155"/>
      <c r="F238" s="155"/>
      <c r="G238" s="153"/>
      <c r="H238" s="251" t="s">
        <v>33</v>
      </c>
      <c r="I238" s="169">
        <f ca="1">I249+I260</f>
        <v>0</v>
      </c>
      <c r="J238" s="169">
        <f>J249+J260</f>
        <v>0</v>
      </c>
      <c r="K238" s="47">
        <f ca="1">IF(I238&gt;0,J238*100/I238,0)</f>
        <v>0</v>
      </c>
      <c r="L238" s="46"/>
      <c r="M238" s="46"/>
      <c r="N238" s="46"/>
      <c r="O238" s="46"/>
      <c r="P238" s="46"/>
    </row>
    <row r="239" spans="1:16" ht="18.75" hidden="1" x14ac:dyDescent="0.25">
      <c r="A239" s="148"/>
      <c r="B239" s="149"/>
      <c r="C239" s="149"/>
      <c r="D239" s="255" t="s">
        <v>41</v>
      </c>
      <c r="E239" s="155"/>
      <c r="F239" s="155"/>
      <c r="G239" s="153"/>
      <c r="H239" s="153"/>
      <c r="I239" s="45"/>
      <c r="J239" s="45"/>
      <c r="K239" s="46"/>
      <c r="L239" s="46"/>
      <c r="M239" s="46"/>
      <c r="N239" s="46"/>
      <c r="O239" s="145"/>
      <c r="P239" s="145"/>
    </row>
    <row r="240" spans="1:16" ht="18.75" hidden="1" x14ac:dyDescent="0.25">
      <c r="A240" s="148"/>
      <c r="B240" s="149"/>
      <c r="C240" s="149"/>
      <c r="D240" s="149"/>
      <c r="E240" s="154" t="s">
        <v>104</v>
      </c>
      <c r="F240" s="155"/>
      <c r="G240" s="153"/>
      <c r="H240" s="251" t="s">
        <v>33</v>
      </c>
      <c r="I240" s="169">
        <f>I251+I262</f>
        <v>0</v>
      </c>
      <c r="J240" s="169">
        <f>J251+J262</f>
        <v>0</v>
      </c>
      <c r="K240" s="47">
        <f>IF(I240&gt;0,J240*100/I240,0)</f>
        <v>0</v>
      </c>
      <c r="L240" s="46"/>
      <c r="M240" s="46"/>
      <c r="N240" s="46"/>
      <c r="O240" s="46"/>
      <c r="P240" s="46"/>
    </row>
    <row r="241" spans="1:16" ht="18.75" hidden="1" x14ac:dyDescent="0.25">
      <c r="A241" s="148"/>
      <c r="B241" s="149"/>
      <c r="C241" s="149"/>
      <c r="D241" s="149"/>
      <c r="E241" s="154" t="s">
        <v>105</v>
      </c>
      <c r="F241" s="155"/>
      <c r="G241" s="153"/>
      <c r="H241" s="251" t="s">
        <v>54</v>
      </c>
      <c r="I241" s="169">
        <f>I252+I263</f>
        <v>0</v>
      </c>
      <c r="J241" s="169">
        <f>J252+J263</f>
        <v>0</v>
      </c>
      <c r="K241" s="47">
        <f>IF(I241&gt;0,J241*100/I241,0)</f>
        <v>0</v>
      </c>
      <c r="L241" s="46"/>
      <c r="M241" s="46"/>
      <c r="N241" s="46"/>
      <c r="O241" s="46"/>
      <c r="P241" s="46"/>
    </row>
    <row r="242" spans="1:16" ht="19.5" hidden="1" x14ac:dyDescent="0.3">
      <c r="A242" s="233"/>
      <c r="B242" s="234"/>
      <c r="C242" s="256" t="s">
        <v>106</v>
      </c>
      <c r="D242" s="236"/>
      <c r="E242" s="236"/>
      <c r="F242" s="236"/>
      <c r="G242" s="237"/>
      <c r="H242" s="257" t="s">
        <v>33</v>
      </c>
      <c r="I242" s="258">
        <f ca="1">I249</f>
        <v>0</v>
      </c>
      <c r="J242" s="258">
        <f>J249</f>
        <v>0</v>
      </c>
      <c r="K242" s="259">
        <f ca="1">IF(I242&gt;0,J242*100/I242,0)</f>
        <v>0</v>
      </c>
      <c r="L242" s="241"/>
      <c r="M242" s="241"/>
      <c r="N242" s="241"/>
      <c r="O242" s="241"/>
      <c r="P242" s="241"/>
    </row>
    <row r="243" spans="1:16" ht="19.5" hidden="1" x14ac:dyDescent="0.3">
      <c r="A243" s="136"/>
      <c r="B243" s="41"/>
      <c r="C243" s="260" t="s">
        <v>16</v>
      </c>
      <c r="D243" s="261" t="s">
        <v>17</v>
      </c>
      <c r="E243" s="41"/>
      <c r="F243" s="41"/>
      <c r="G243" s="43"/>
      <c r="H243" s="262" t="s">
        <v>12</v>
      </c>
      <c r="I243" s="144"/>
      <c r="J243" s="144"/>
      <c r="K243" s="145"/>
      <c r="L243" s="263">
        <f ca="1">L244+L245+L246+L247</f>
        <v>0</v>
      </c>
      <c r="M243" s="46"/>
      <c r="N243" s="263">
        <f>N244+N245+N246+N247</f>
        <v>0</v>
      </c>
      <c r="O243" s="263">
        <f ca="1">IF(L243&gt;0,N243*100/L243,0)</f>
        <v>0</v>
      </c>
      <c r="P243" s="263">
        <f>IF(M243&gt;0,N243*100/M243,0)</f>
        <v>0</v>
      </c>
    </row>
    <row r="244" spans="1:16" ht="18.75" hidden="1" x14ac:dyDescent="0.25">
      <c r="A244" s="136"/>
      <c r="B244" s="228"/>
      <c r="C244" s="41"/>
      <c r="D244" s="279" t="s">
        <v>80</v>
      </c>
      <c r="E244" s="41"/>
      <c r="F244" s="41"/>
      <c r="G244" s="43"/>
      <c r="H244" s="146" t="s">
        <v>12</v>
      </c>
      <c r="I244" s="144"/>
      <c r="J244" s="144"/>
      <c r="K244" s="145"/>
      <c r="L244" s="50">
        <f ca="1">IFERROR(__xludf.DUMMYFUNCTION("IMPORTRANGE(""https://docs.google.com/spreadsheets/d/1eHaY18a8A9IcSdp1K8H6x8fbOy06t2VsZHhMHf-1x7Y/edit?usp=sharing"",""แผน!AX15"")"),0)</f>
        <v>0</v>
      </c>
      <c r="M244" s="46"/>
      <c r="N244" s="264">
        <v>0</v>
      </c>
      <c r="O244" s="46"/>
      <c r="P244" s="46"/>
    </row>
    <row r="245" spans="1:16" ht="18.75" hidden="1" x14ac:dyDescent="0.25">
      <c r="A245" s="227"/>
      <c r="B245" s="228"/>
      <c r="C245" s="228"/>
      <c r="D245" s="279" t="s">
        <v>82</v>
      </c>
      <c r="E245" s="41"/>
      <c r="F245" s="41"/>
      <c r="G245" s="43"/>
      <c r="H245" s="146" t="s">
        <v>12</v>
      </c>
      <c r="I245" s="45"/>
      <c r="J245" s="45"/>
      <c r="K245" s="46"/>
      <c r="L245" s="50">
        <f ca="1">IFERROR(__xludf.DUMMYFUNCTION("IMPORTRANGE(""https://docs.google.com/spreadsheets/d/1eHaY18a8A9IcSdp1K8H6x8fbOy06t2VsZHhMHf-1x7Y/edit?usp=sharing"",""แผน!AY15"")"),0)</f>
        <v>0</v>
      </c>
      <c r="M245" s="46"/>
      <c r="N245" s="264">
        <v>0</v>
      </c>
      <c r="O245" s="46"/>
      <c r="P245" s="46"/>
    </row>
    <row r="246" spans="1:16" ht="18.75" hidden="1" x14ac:dyDescent="0.25">
      <c r="A246" s="227"/>
      <c r="B246" s="228"/>
      <c r="C246" s="228"/>
      <c r="D246" s="279" t="s">
        <v>101</v>
      </c>
      <c r="E246" s="41"/>
      <c r="F246" s="41"/>
      <c r="G246" s="43"/>
      <c r="H246" s="146" t="s">
        <v>12</v>
      </c>
      <c r="I246" s="45"/>
      <c r="J246" s="45"/>
      <c r="K246" s="46"/>
      <c r="L246" s="50">
        <f ca="1">IFERROR(__xludf.DUMMYFUNCTION("IMPORTRANGE(""https://docs.google.com/spreadsheets/d/1eHaY18a8A9IcSdp1K8H6x8fbOy06t2VsZHhMHf-1x7Y/edit?usp=sharing"",""แผน!AZ15"")"),0)</f>
        <v>0</v>
      </c>
      <c r="M246" s="46"/>
      <c r="N246" s="264">
        <v>0</v>
      </c>
      <c r="O246" s="46"/>
      <c r="P246" s="46"/>
    </row>
    <row r="247" spans="1:16" ht="18.75" hidden="1" x14ac:dyDescent="0.25">
      <c r="A247" s="227"/>
      <c r="B247" s="228"/>
      <c r="C247" s="228"/>
      <c r="D247" s="279" t="s">
        <v>102</v>
      </c>
      <c r="E247" s="41"/>
      <c r="F247" s="41"/>
      <c r="G247" s="43"/>
      <c r="H247" s="146" t="s">
        <v>12</v>
      </c>
      <c r="I247" s="45"/>
      <c r="J247" s="45"/>
      <c r="K247" s="46"/>
      <c r="L247" s="50">
        <f ca="1">IFERROR(__xludf.DUMMYFUNCTION("IMPORTRANGE(""https://docs.google.com/spreadsheets/d/1eHaY18a8A9IcSdp1K8H6x8fbOy06t2VsZHhMHf-1x7Y/edit?usp=sharing"",""แผน!BA15"")"),0)</f>
        <v>0</v>
      </c>
      <c r="M247" s="46"/>
      <c r="N247" s="264">
        <v>0</v>
      </c>
      <c r="O247" s="46"/>
      <c r="P247" s="46"/>
    </row>
    <row r="248" spans="1:16" ht="19.5" hidden="1" x14ac:dyDescent="0.3">
      <c r="A248" s="148"/>
      <c r="B248" s="149"/>
      <c r="C248" s="265" t="s">
        <v>16</v>
      </c>
      <c r="D248" s="394" t="s">
        <v>36</v>
      </c>
      <c r="E248" s="151"/>
      <c r="F248" s="151"/>
      <c r="G248" s="152"/>
      <c r="H248" s="153"/>
      <c r="I248" s="144"/>
      <c r="J248" s="45"/>
      <c r="K248" s="46"/>
      <c r="L248" s="46"/>
      <c r="M248" s="46"/>
      <c r="N248" s="46"/>
      <c r="O248" s="145"/>
      <c r="P248" s="145"/>
    </row>
    <row r="249" spans="1:16" ht="18.75" hidden="1" x14ac:dyDescent="0.25">
      <c r="A249" s="148"/>
      <c r="B249" s="149"/>
      <c r="C249" s="149"/>
      <c r="D249" s="267" t="s">
        <v>103</v>
      </c>
      <c r="E249" s="155"/>
      <c r="F249" s="155"/>
      <c r="G249" s="153"/>
      <c r="H249" s="268" t="s">
        <v>33</v>
      </c>
      <c r="I249" s="200">
        <f ca="1">IFERROR(__xludf.DUMMYFUNCTION("IMPORTRANGE(""https://docs.google.com/spreadsheets/d/1eHaY18a8A9IcSdp1K8H6x8fbOy06t2VsZHhMHf-1x7Y/edit?usp=sharing"",""แผน!BG15"")"),0)</f>
        <v>0</v>
      </c>
      <c r="J249" s="201">
        <v>0</v>
      </c>
      <c r="K249" s="50">
        <f ca="1">IF(I249&gt;0,J249*100/I249,0)</f>
        <v>0</v>
      </c>
      <c r="L249" s="46"/>
      <c r="M249" s="46"/>
      <c r="N249" s="46"/>
      <c r="O249" s="46"/>
      <c r="P249" s="46"/>
    </row>
    <row r="250" spans="1:16" ht="18.75" hidden="1" x14ac:dyDescent="0.25">
      <c r="A250" s="148"/>
      <c r="B250" s="149"/>
      <c r="C250" s="149"/>
      <c r="D250" s="269" t="s">
        <v>41</v>
      </c>
      <c r="E250" s="155"/>
      <c r="F250" s="155"/>
      <c r="G250" s="153"/>
      <c r="H250" s="153"/>
      <c r="I250" s="45"/>
      <c r="J250" s="45"/>
      <c r="K250" s="46"/>
      <c r="L250" s="46"/>
      <c r="M250" s="46"/>
      <c r="N250" s="46"/>
      <c r="O250" s="145"/>
      <c r="P250" s="145"/>
    </row>
    <row r="251" spans="1:16" ht="18.75" hidden="1" x14ac:dyDescent="0.25">
      <c r="A251" s="148"/>
      <c r="B251" s="149"/>
      <c r="C251" s="149"/>
      <c r="D251" s="149"/>
      <c r="E251" s="270" t="s">
        <v>104</v>
      </c>
      <c r="F251" s="155"/>
      <c r="G251" s="153"/>
      <c r="H251" s="268" t="s">
        <v>33</v>
      </c>
      <c r="I251" s="200">
        <v>0</v>
      </c>
      <c r="J251" s="201">
        <v>0</v>
      </c>
      <c r="K251" s="50">
        <f>IF(I251&gt;0,J251*100/I251,0)</f>
        <v>0</v>
      </c>
      <c r="L251" s="46"/>
      <c r="M251" s="46"/>
      <c r="N251" s="46"/>
      <c r="O251" s="46"/>
      <c r="P251" s="46"/>
    </row>
    <row r="252" spans="1:16" ht="18.75" hidden="1" x14ac:dyDescent="0.25">
      <c r="A252" s="148"/>
      <c r="B252" s="149"/>
      <c r="C252" s="149"/>
      <c r="D252" s="149"/>
      <c r="E252" s="270" t="s">
        <v>105</v>
      </c>
      <c r="F252" s="155"/>
      <c r="G252" s="153"/>
      <c r="H252" s="268" t="s">
        <v>54</v>
      </c>
      <c r="I252" s="200">
        <v>0</v>
      </c>
      <c r="J252" s="201">
        <v>0</v>
      </c>
      <c r="K252" s="50">
        <f>IF(I252&gt;0,J252*100/I252,0)</f>
        <v>0</v>
      </c>
      <c r="L252" s="46"/>
      <c r="M252" s="46"/>
      <c r="N252" s="46"/>
      <c r="O252" s="46"/>
      <c r="P252" s="46"/>
    </row>
    <row r="253" spans="1:16" ht="19.5" hidden="1" x14ac:dyDescent="0.3">
      <c r="A253" s="233"/>
      <c r="B253" s="234"/>
      <c r="C253" s="256" t="s">
        <v>107</v>
      </c>
      <c r="D253" s="236"/>
      <c r="E253" s="236"/>
      <c r="F253" s="236"/>
      <c r="G253" s="237"/>
      <c r="H253" s="257" t="s">
        <v>33</v>
      </c>
      <c r="I253" s="258">
        <f ca="1">I260</f>
        <v>0</v>
      </c>
      <c r="J253" s="258">
        <f>J260</f>
        <v>0</v>
      </c>
      <c r="K253" s="259">
        <f ca="1">IF(I253&gt;0,J253*100/I253,0)</f>
        <v>0</v>
      </c>
      <c r="L253" s="241"/>
      <c r="M253" s="241"/>
      <c r="N253" s="241"/>
      <c r="O253" s="241"/>
      <c r="P253" s="241"/>
    </row>
    <row r="254" spans="1:16" ht="19.5" hidden="1" x14ac:dyDescent="0.3">
      <c r="A254" s="136"/>
      <c r="B254" s="41"/>
      <c r="C254" s="260" t="s">
        <v>16</v>
      </c>
      <c r="D254" s="399" t="s">
        <v>17</v>
      </c>
      <c r="E254" s="41"/>
      <c r="F254" s="41"/>
      <c r="G254" s="43"/>
      <c r="H254" s="262" t="s">
        <v>12</v>
      </c>
      <c r="I254" s="144"/>
      <c r="J254" s="144"/>
      <c r="K254" s="145"/>
      <c r="L254" s="263">
        <f ca="1">L255+L256+L257+L258</f>
        <v>0</v>
      </c>
      <c r="M254" s="46"/>
      <c r="N254" s="263">
        <f>N255+N256+N257+N258</f>
        <v>0</v>
      </c>
      <c r="O254" s="263">
        <f ca="1">IF(L254&gt;0,N254*100/L254,0)</f>
        <v>0</v>
      </c>
      <c r="P254" s="263">
        <f>IF(M254&gt;0,N254*100/M254,0)</f>
        <v>0</v>
      </c>
    </row>
    <row r="255" spans="1:16" ht="18.75" hidden="1" x14ac:dyDescent="0.25">
      <c r="A255" s="136"/>
      <c r="B255" s="228"/>
      <c r="C255" s="41"/>
      <c r="D255" s="279" t="s">
        <v>80</v>
      </c>
      <c r="E255" s="41"/>
      <c r="F255" s="41"/>
      <c r="G255" s="43"/>
      <c r="H255" s="146" t="s">
        <v>12</v>
      </c>
      <c r="I255" s="144"/>
      <c r="J255" s="144"/>
      <c r="K255" s="145"/>
      <c r="L255" s="50">
        <f ca="1">IFERROR(__xludf.DUMMYFUNCTION("IMPORTRANGE(""https://docs.google.com/spreadsheets/d/1eHaY18a8A9IcSdp1K8H6x8fbOy06t2VsZHhMHf-1x7Y/edit?usp=sharing"",""แผน!BB15"")"),0)</f>
        <v>0</v>
      </c>
      <c r="M255" s="46"/>
      <c r="N255" s="264">
        <v>0</v>
      </c>
      <c r="O255" s="46"/>
      <c r="P255" s="46"/>
    </row>
    <row r="256" spans="1:16" ht="18.75" hidden="1" x14ac:dyDescent="0.25">
      <c r="A256" s="227"/>
      <c r="B256" s="228"/>
      <c r="C256" s="228"/>
      <c r="D256" s="279" t="s">
        <v>82</v>
      </c>
      <c r="E256" s="41"/>
      <c r="F256" s="41"/>
      <c r="G256" s="43"/>
      <c r="H256" s="146" t="s">
        <v>12</v>
      </c>
      <c r="I256" s="45"/>
      <c r="J256" s="45"/>
      <c r="K256" s="46"/>
      <c r="L256" s="50">
        <f ca="1">IFERROR(__xludf.DUMMYFUNCTION("IMPORTRANGE(""https://docs.google.com/spreadsheets/d/1eHaY18a8A9IcSdp1K8H6x8fbOy06t2VsZHhMHf-1x7Y/edit?usp=sharing"",""แผน!BC15"")"),0)</f>
        <v>0</v>
      </c>
      <c r="M256" s="46"/>
      <c r="N256" s="264">
        <v>0</v>
      </c>
      <c r="O256" s="46"/>
      <c r="P256" s="46"/>
    </row>
    <row r="257" spans="1:16" ht="18.75" hidden="1" x14ac:dyDescent="0.25">
      <c r="A257" s="227"/>
      <c r="B257" s="228"/>
      <c r="C257" s="228"/>
      <c r="D257" s="279" t="s">
        <v>101</v>
      </c>
      <c r="E257" s="41"/>
      <c r="F257" s="41"/>
      <c r="G257" s="43"/>
      <c r="H257" s="146" t="s">
        <v>12</v>
      </c>
      <c r="I257" s="45"/>
      <c r="J257" s="45"/>
      <c r="K257" s="46"/>
      <c r="L257" s="50">
        <f ca="1">IFERROR(__xludf.DUMMYFUNCTION("IMPORTRANGE(""https://docs.google.com/spreadsheets/d/1eHaY18a8A9IcSdp1K8H6x8fbOy06t2VsZHhMHf-1x7Y/edit?usp=sharing"",""แผน!BD15"")"),0)</f>
        <v>0</v>
      </c>
      <c r="M257" s="46"/>
      <c r="N257" s="264">
        <v>0</v>
      </c>
      <c r="O257" s="46"/>
      <c r="P257" s="46"/>
    </row>
    <row r="258" spans="1:16" ht="18.75" hidden="1" x14ac:dyDescent="0.25">
      <c r="A258" s="227"/>
      <c r="B258" s="228"/>
      <c r="C258" s="228"/>
      <c r="D258" s="279" t="s">
        <v>102</v>
      </c>
      <c r="E258" s="41"/>
      <c r="F258" s="41"/>
      <c r="G258" s="43"/>
      <c r="H258" s="146" t="s">
        <v>12</v>
      </c>
      <c r="I258" s="45"/>
      <c r="J258" s="45"/>
      <c r="K258" s="46"/>
      <c r="L258" s="50">
        <f ca="1">IFERROR(__xludf.DUMMYFUNCTION("IMPORTRANGE(""https://docs.google.com/spreadsheets/d/1eHaY18a8A9IcSdp1K8H6x8fbOy06t2VsZHhMHf-1x7Y/edit?usp=sharing"",""แผน!BE15"")"),0)</f>
        <v>0</v>
      </c>
      <c r="M258" s="46"/>
      <c r="N258" s="264">
        <v>0</v>
      </c>
      <c r="O258" s="46"/>
      <c r="P258" s="46"/>
    </row>
    <row r="259" spans="1:16" ht="19.5" hidden="1" x14ac:dyDescent="0.3">
      <c r="A259" s="148"/>
      <c r="B259" s="149"/>
      <c r="C259" s="265" t="s">
        <v>16</v>
      </c>
      <c r="D259" s="394" t="s">
        <v>36</v>
      </c>
      <c r="E259" s="151"/>
      <c r="F259" s="151"/>
      <c r="G259" s="152"/>
      <c r="H259" s="153"/>
      <c r="I259" s="144"/>
      <c r="J259" s="45"/>
      <c r="K259" s="46"/>
      <c r="L259" s="46"/>
      <c r="M259" s="46"/>
      <c r="N259" s="46"/>
      <c r="O259" s="145"/>
      <c r="P259" s="145"/>
    </row>
    <row r="260" spans="1:16" ht="18.75" hidden="1" x14ac:dyDescent="0.25">
      <c r="A260" s="148"/>
      <c r="B260" s="149"/>
      <c r="C260" s="149"/>
      <c r="D260" s="267" t="s">
        <v>103</v>
      </c>
      <c r="E260" s="155"/>
      <c r="F260" s="155"/>
      <c r="G260" s="153"/>
      <c r="H260" s="268" t="s">
        <v>33</v>
      </c>
      <c r="I260" s="200">
        <f ca="1">IFERROR(__xludf.DUMMYFUNCTION("IMPORTRANGE(""https://docs.google.com/spreadsheets/d/1eHaY18a8A9IcSdp1K8H6x8fbOy06t2VsZHhMHf-1x7Y/edit?usp=sharing"",""แผน!BH15"")"),0)</f>
        <v>0</v>
      </c>
      <c r="J260" s="201">
        <v>0</v>
      </c>
      <c r="K260" s="50">
        <f ca="1">IF(I260&gt;0,J260*100/I260,0)</f>
        <v>0</v>
      </c>
      <c r="L260" s="46"/>
      <c r="M260" s="46"/>
      <c r="N260" s="46"/>
      <c r="O260" s="46"/>
      <c r="P260" s="46"/>
    </row>
    <row r="261" spans="1:16" ht="18.75" hidden="1" x14ac:dyDescent="0.25">
      <c r="A261" s="148"/>
      <c r="B261" s="149"/>
      <c r="C261" s="149"/>
      <c r="D261" s="269" t="s">
        <v>41</v>
      </c>
      <c r="E261" s="155"/>
      <c r="F261" s="155"/>
      <c r="G261" s="153"/>
      <c r="H261" s="153"/>
      <c r="I261" s="45"/>
      <c r="J261" s="45"/>
      <c r="K261" s="46"/>
      <c r="L261" s="46"/>
      <c r="M261" s="46"/>
      <c r="N261" s="46"/>
      <c r="O261" s="145"/>
      <c r="P261" s="145"/>
    </row>
    <row r="262" spans="1:16" ht="18.75" hidden="1" x14ac:dyDescent="0.25">
      <c r="A262" s="148"/>
      <c r="B262" s="149"/>
      <c r="C262" s="149"/>
      <c r="D262" s="149"/>
      <c r="E262" s="270" t="s">
        <v>104</v>
      </c>
      <c r="F262" s="155"/>
      <c r="G262" s="153"/>
      <c r="H262" s="268" t="s">
        <v>33</v>
      </c>
      <c r="I262" s="45"/>
      <c r="J262" s="201">
        <v>0</v>
      </c>
      <c r="K262" s="50">
        <f>IF(I262&gt;0,J262*100/I262,0)</f>
        <v>0</v>
      </c>
      <c r="L262" s="46"/>
      <c r="M262" s="46"/>
      <c r="N262" s="46"/>
      <c r="O262" s="46"/>
      <c r="P262" s="46"/>
    </row>
    <row r="263" spans="1:16" ht="18.75" hidden="1" x14ac:dyDescent="0.25">
      <c r="A263" s="148"/>
      <c r="B263" s="149"/>
      <c r="C263" s="149"/>
      <c r="D263" s="149"/>
      <c r="E263" s="270" t="s">
        <v>105</v>
      </c>
      <c r="F263" s="155"/>
      <c r="G263" s="153"/>
      <c r="H263" s="268" t="s">
        <v>54</v>
      </c>
      <c r="I263" s="45"/>
      <c r="J263" s="201">
        <v>0</v>
      </c>
      <c r="K263" s="50">
        <f>IF(I263&gt;0,J263*100/I263,0)</f>
        <v>0</v>
      </c>
      <c r="L263" s="46"/>
      <c r="M263" s="46"/>
      <c r="N263" s="46"/>
      <c r="O263" s="46"/>
      <c r="P263" s="46"/>
    </row>
    <row r="264" spans="1:16" ht="19.5" hidden="1" x14ac:dyDescent="0.3">
      <c r="A264" s="272" t="s">
        <v>108</v>
      </c>
      <c r="B264" s="215"/>
      <c r="C264" s="215"/>
      <c r="D264" s="216"/>
      <c r="E264" s="216"/>
      <c r="F264" s="216"/>
      <c r="G264" s="217"/>
      <c r="H264" s="217"/>
      <c r="I264" s="218"/>
      <c r="J264" s="218"/>
      <c r="K264" s="219"/>
      <c r="L264" s="219"/>
      <c r="M264" s="219"/>
      <c r="N264" s="219"/>
      <c r="O264" s="219"/>
      <c r="P264" s="219"/>
    </row>
    <row r="265" spans="1:16" ht="19.5" hidden="1" x14ac:dyDescent="0.3">
      <c r="A265" s="220"/>
      <c r="B265" s="273" t="s">
        <v>109</v>
      </c>
      <c r="C265" s="222"/>
      <c r="D265" s="151"/>
      <c r="E265" s="151"/>
      <c r="F265" s="151"/>
      <c r="G265" s="152"/>
      <c r="H265" s="274" t="s">
        <v>33</v>
      </c>
      <c r="I265" s="275">
        <f>I276</f>
        <v>0</v>
      </c>
      <c r="J265" s="275">
        <f>J276</f>
        <v>0</v>
      </c>
      <c r="K265" s="276">
        <f>IF(I265&gt;0,J265*100/I265,0)</f>
        <v>0</v>
      </c>
      <c r="L265" s="226"/>
      <c r="M265" s="226"/>
      <c r="N265" s="226"/>
      <c r="O265" s="226"/>
      <c r="P265" s="226"/>
    </row>
    <row r="266" spans="1:16" ht="19.5" hidden="1" x14ac:dyDescent="0.3">
      <c r="A266" s="136"/>
      <c r="B266" s="41"/>
      <c r="C266" s="260" t="s">
        <v>16</v>
      </c>
      <c r="D266" s="261" t="s">
        <v>17</v>
      </c>
      <c r="E266" s="41"/>
      <c r="F266" s="41"/>
      <c r="G266" s="43"/>
      <c r="H266" s="277" t="s">
        <v>12</v>
      </c>
      <c r="I266" s="45"/>
      <c r="J266" s="45"/>
      <c r="K266" s="46"/>
      <c r="L266" s="263">
        <f ca="1">L267+L268</f>
        <v>0</v>
      </c>
      <c r="M266" s="263">
        <f ca="1">M267+M268</f>
        <v>0</v>
      </c>
      <c r="N266" s="263">
        <f ca="1">N267+N268</f>
        <v>0</v>
      </c>
      <c r="O266" s="263">
        <f ca="1">IF(L266&gt;0,N266*100/L266,0)</f>
        <v>0</v>
      </c>
      <c r="P266" s="263">
        <f ca="1">IF(M266&gt;0,N266*100/M266,0)</f>
        <v>0</v>
      </c>
    </row>
    <row r="267" spans="1:16" ht="18.75" hidden="1" x14ac:dyDescent="0.25">
      <c r="A267" s="136"/>
      <c r="B267" s="41"/>
      <c r="C267" s="41"/>
      <c r="D267" s="41"/>
      <c r="E267" s="279" t="s">
        <v>18</v>
      </c>
      <c r="F267" s="41"/>
      <c r="G267" s="43"/>
      <c r="H267" s="141" t="s">
        <v>12</v>
      </c>
      <c r="I267" s="45"/>
      <c r="J267" s="45"/>
      <c r="K267" s="46"/>
      <c r="L267" s="50">
        <f>L270+L273</f>
        <v>0</v>
      </c>
      <c r="M267" s="50">
        <f>M270+M273</f>
        <v>0</v>
      </c>
      <c r="N267" s="50">
        <f>N270+N273</f>
        <v>0</v>
      </c>
      <c r="O267" s="50">
        <f>IF(L267&gt;0,N267*100/L267,0)</f>
        <v>0</v>
      </c>
      <c r="P267" s="50">
        <f>IF(M267&gt;0,N267*100/M267,0)</f>
        <v>0</v>
      </c>
    </row>
    <row r="268" spans="1:16" ht="18.75" hidden="1" x14ac:dyDescent="0.25">
      <c r="A268" s="136"/>
      <c r="B268" s="41"/>
      <c r="C268" s="41"/>
      <c r="D268" s="41"/>
      <c r="E268" s="279" t="s">
        <v>19</v>
      </c>
      <c r="F268" s="41"/>
      <c r="G268" s="43"/>
      <c r="H268" s="141" t="s">
        <v>12</v>
      </c>
      <c r="I268" s="45"/>
      <c r="J268" s="45"/>
      <c r="K268" s="46"/>
      <c r="L268" s="50">
        <f ca="1">L271+L274</f>
        <v>0</v>
      </c>
      <c r="M268" s="50">
        <f ca="1">M271+M274</f>
        <v>0</v>
      </c>
      <c r="N268" s="50">
        <f ca="1">N271+N274</f>
        <v>0</v>
      </c>
      <c r="O268" s="50">
        <f ca="1">IF(L268&gt;0,N268*100/L268,0)</f>
        <v>0</v>
      </c>
      <c r="P268" s="50">
        <f ca="1">IF(M268&gt;0,N268*100/M268,0)</f>
        <v>0</v>
      </c>
    </row>
    <row r="269" spans="1:16" ht="18.75" hidden="1" x14ac:dyDescent="0.25">
      <c r="A269" s="136"/>
      <c r="B269" s="41"/>
      <c r="C269" s="41"/>
      <c r="D269" s="278" t="s">
        <v>20</v>
      </c>
      <c r="E269" s="41"/>
      <c r="F269" s="41"/>
      <c r="G269" s="43"/>
      <c r="H269" s="146" t="s">
        <v>12</v>
      </c>
      <c r="I269" s="144"/>
      <c r="J269" s="144"/>
      <c r="K269" s="145"/>
      <c r="L269" s="50">
        <f ca="1">L270+L271</f>
        <v>0</v>
      </c>
      <c r="M269" s="50">
        <f ca="1">M270+M271</f>
        <v>0</v>
      </c>
      <c r="N269" s="50">
        <f ca="1">N270+N271</f>
        <v>0</v>
      </c>
      <c r="O269" s="50">
        <f ca="1">IF(L269&gt;0,N269*100/L269,0)</f>
        <v>0</v>
      </c>
      <c r="P269" s="50">
        <f ca="1">IF(M269&gt;0,N269*100/M269,0)</f>
        <v>0</v>
      </c>
    </row>
    <row r="270" spans="1:16" ht="18.75" hidden="1" x14ac:dyDescent="0.25">
      <c r="A270" s="136"/>
      <c r="B270" s="41"/>
      <c r="C270" s="41"/>
      <c r="D270" s="41"/>
      <c r="E270" s="279" t="s">
        <v>34</v>
      </c>
      <c r="F270" s="41"/>
      <c r="G270" s="43"/>
      <c r="H270" s="146" t="s">
        <v>12</v>
      </c>
      <c r="I270" s="144"/>
      <c r="J270" s="144"/>
      <c r="K270" s="145"/>
      <c r="L270" s="50">
        <v>0</v>
      </c>
      <c r="M270" s="50">
        <v>0</v>
      </c>
      <c r="N270" s="50">
        <v>0</v>
      </c>
      <c r="O270" s="50">
        <f>IF(L270&gt;0,N270*100/L270,0)</f>
        <v>0</v>
      </c>
      <c r="P270" s="50">
        <f>IF(M270&gt;0,N270*100/M270,0)</f>
        <v>0</v>
      </c>
    </row>
    <row r="271" spans="1:16" ht="18.75" hidden="1" x14ac:dyDescent="0.25">
      <c r="A271" s="136"/>
      <c r="B271" s="41"/>
      <c r="C271" s="41"/>
      <c r="D271" s="41"/>
      <c r="E271" s="279" t="s">
        <v>35</v>
      </c>
      <c r="F271" s="41"/>
      <c r="G271" s="43"/>
      <c r="H271" s="146" t="s">
        <v>12</v>
      </c>
      <c r="I271" s="144"/>
      <c r="J271" s="144"/>
      <c r="K271" s="145"/>
      <c r="L271" s="50">
        <f ca="1">IFERROR(__xludf.DUMMYFUNCTION("IMPORTRANGE(""https://docs.google.com/spreadsheets/d/1-uDff_7J0KD5mKrp0Vvzr7lt3OU09vwQwhkpOPPYv2Y/edit?usp=sharing"",""งบพรบ!DE15"")"),0)</f>
        <v>0</v>
      </c>
      <c r="M271" s="50">
        <f ca="1">IFERROR(__xludf.DUMMYFUNCTION("IMPORTRANGE(""https://docs.google.com/spreadsheets/d/1-uDff_7J0KD5mKrp0Vvzr7lt3OU09vwQwhkpOPPYv2Y/edit?usp=sharing"",""งบพรบ!DJ15"")"),0)</f>
        <v>0</v>
      </c>
      <c r="N271" s="50">
        <f ca="1">IFERROR(__xludf.DUMMYFUNCTION("IMPORTRANGE(""https://docs.google.com/spreadsheets/d/1-uDff_7J0KD5mKrp0Vvzr7lt3OU09vwQwhkpOPPYv2Y/edit?usp=sharing"",""งบพรบ!DL15"")"),0)</f>
        <v>0</v>
      </c>
      <c r="O271" s="50">
        <f ca="1">IF(L271&gt;0,N271*100/L271,0)</f>
        <v>0</v>
      </c>
      <c r="P271" s="50">
        <f ca="1">IF(M271&gt;0,N271*100/M271,0)</f>
        <v>0</v>
      </c>
    </row>
    <row r="272" spans="1:16" ht="18.75" hidden="1" x14ac:dyDescent="0.25">
      <c r="A272" s="136"/>
      <c r="B272" s="41"/>
      <c r="C272" s="41"/>
      <c r="D272" s="278" t="s">
        <v>21</v>
      </c>
      <c r="E272" s="41"/>
      <c r="F272" s="41"/>
      <c r="G272" s="43"/>
      <c r="H272" s="199" t="s">
        <v>12</v>
      </c>
      <c r="I272" s="144"/>
      <c r="J272" s="144"/>
      <c r="K272" s="145"/>
      <c r="L272" s="50">
        <f ca="1">L273+L274</f>
        <v>0</v>
      </c>
      <c r="M272" s="50">
        <f ca="1">M273+M274</f>
        <v>0</v>
      </c>
      <c r="N272" s="50">
        <f ca="1">N273+N274</f>
        <v>0</v>
      </c>
      <c r="O272" s="50">
        <f ca="1">IF(L272&gt;0,N272*100/L272,0)</f>
        <v>0</v>
      </c>
      <c r="P272" s="50">
        <f ca="1">IF(M272&gt;0,N272*100/M272,0)</f>
        <v>0</v>
      </c>
    </row>
    <row r="273" spans="1:16" ht="18.75" hidden="1" x14ac:dyDescent="0.25">
      <c r="A273" s="136"/>
      <c r="B273" s="41"/>
      <c r="C273" s="41"/>
      <c r="D273" s="41"/>
      <c r="E273" s="279" t="s">
        <v>18</v>
      </c>
      <c r="F273" s="41"/>
      <c r="G273" s="43"/>
      <c r="H273" s="146" t="s">
        <v>12</v>
      </c>
      <c r="I273" s="144"/>
      <c r="J273" s="144"/>
      <c r="K273" s="145"/>
      <c r="L273" s="50">
        <v>0</v>
      </c>
      <c r="M273" s="50">
        <v>0</v>
      </c>
      <c r="N273" s="50">
        <v>0</v>
      </c>
      <c r="O273" s="50">
        <f>IF(L273&gt;0,N273*100/L273,0)</f>
        <v>0</v>
      </c>
      <c r="P273" s="50">
        <f>IF(M273&gt;0,N273*100/M273,0)</f>
        <v>0</v>
      </c>
    </row>
    <row r="274" spans="1:16" ht="18.75" hidden="1" x14ac:dyDescent="0.25">
      <c r="A274" s="136"/>
      <c r="B274" s="41"/>
      <c r="C274" s="41"/>
      <c r="D274" s="41"/>
      <c r="E274" s="279" t="s">
        <v>19</v>
      </c>
      <c r="F274" s="41"/>
      <c r="G274" s="43"/>
      <c r="H274" s="199" t="s">
        <v>12</v>
      </c>
      <c r="I274" s="144"/>
      <c r="J274" s="144"/>
      <c r="K274" s="145"/>
      <c r="L274" s="50">
        <f ca="1">IFERROR(__xludf.DUMMYFUNCTION("IMPORTRANGE(""https://docs.google.com/spreadsheets/d/1-uDff_7J0KD5mKrp0Vvzr7lt3OU09vwQwhkpOPPYv2Y/edit?usp=sharing"",""งบพรบ!DH15"")"),0)</f>
        <v>0</v>
      </c>
      <c r="M274" s="50">
        <f ca="1">IFERROR(__xludf.DUMMYFUNCTION("IMPORTRANGE(""https://docs.google.com/spreadsheets/d/1-uDff_7J0KD5mKrp0Vvzr7lt3OU09vwQwhkpOPPYv2Y/edit?usp=sharing"",""งบพรบ!DK15"")"),0)</f>
        <v>0</v>
      </c>
      <c r="N274" s="50">
        <f ca="1">IFERROR(__xludf.DUMMYFUNCTION("IMPORTRANGE(""https://docs.google.com/spreadsheets/d/1-uDff_7J0KD5mKrp0Vvzr7lt3OU09vwQwhkpOPPYv2Y/edit?usp=sharing"",""งบพรบ!DM15"")"),0)</f>
        <v>0</v>
      </c>
      <c r="O274" s="50">
        <f ca="1">IF(L274&gt;0,N274*100/L274,0)</f>
        <v>0</v>
      </c>
      <c r="P274" s="50">
        <f ca="1">IF(M274&gt;0,N274*100/M274,0)</f>
        <v>0</v>
      </c>
    </row>
    <row r="275" spans="1:16" ht="19.5" hidden="1" x14ac:dyDescent="0.3">
      <c r="A275" s="148"/>
      <c r="B275" s="149"/>
      <c r="C275" s="279" t="s">
        <v>16</v>
      </c>
      <c r="D275" s="394" t="s">
        <v>36</v>
      </c>
      <c r="E275" s="151"/>
      <c r="F275" s="151"/>
      <c r="G275" s="152"/>
      <c r="H275" s="153"/>
      <c r="I275" s="144"/>
      <c r="J275" s="144"/>
      <c r="K275" s="145"/>
      <c r="L275" s="145"/>
      <c r="M275" s="145"/>
      <c r="N275" s="145"/>
      <c r="O275" s="145"/>
      <c r="P275" s="145"/>
    </row>
    <row r="276" spans="1:16" ht="12.75" hidden="1" x14ac:dyDescent="0.2">
      <c r="A276" s="165"/>
      <c r="B276" s="166"/>
      <c r="C276" s="166"/>
      <c r="D276" s="16"/>
      <c r="E276" s="16"/>
      <c r="F276" s="16"/>
      <c r="G276" s="17"/>
      <c r="H276" s="17"/>
      <c r="I276" s="18"/>
      <c r="J276" s="18"/>
      <c r="K276" s="19"/>
      <c r="L276" s="19"/>
      <c r="M276" s="19"/>
      <c r="N276" s="19"/>
      <c r="O276" s="19"/>
      <c r="P276" s="19"/>
    </row>
    <row r="277" spans="1:16" ht="18.75" hidden="1" x14ac:dyDescent="0.25">
      <c r="A277" s="280"/>
      <c r="B277" s="281"/>
      <c r="C277" s="281"/>
      <c r="D277" s="282" t="s">
        <v>110</v>
      </c>
      <c r="E277" s="283"/>
      <c r="F277" s="283"/>
      <c r="G277" s="284"/>
      <c r="H277" s="285" t="s">
        <v>33</v>
      </c>
      <c r="I277" s="205">
        <v>0</v>
      </c>
      <c r="J277" s="205">
        <v>0</v>
      </c>
      <c r="K277" s="286">
        <v>0</v>
      </c>
      <c r="L277" s="287"/>
      <c r="M277" s="287"/>
      <c r="N277" s="287"/>
      <c r="O277" s="287"/>
      <c r="P277" s="287"/>
    </row>
    <row r="278" spans="1:16" ht="19.5" x14ac:dyDescent="0.3">
      <c r="A278" s="288" t="s">
        <v>111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</row>
    <row r="279" spans="1:16" ht="19.5" x14ac:dyDescent="0.3">
      <c r="A279" s="294" t="s">
        <v>112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299"/>
      <c r="M279" s="299"/>
      <c r="N279" s="299"/>
      <c r="O279" s="299"/>
      <c r="P279" s="299"/>
    </row>
    <row r="280" spans="1:16" ht="19.5" x14ac:dyDescent="0.3">
      <c r="A280" s="300"/>
      <c r="B280" s="301" t="s">
        <v>113</v>
      </c>
      <c r="C280" s="302"/>
      <c r="D280" s="303"/>
      <c r="E280" s="302"/>
      <c r="F280" s="302"/>
      <c r="G280" s="304"/>
      <c r="H280" s="305" t="s">
        <v>33</v>
      </c>
      <c r="I280" s="306">
        <f ca="1">I293</f>
        <v>30</v>
      </c>
      <c r="J280" s="306">
        <f>J293</f>
        <v>0</v>
      </c>
      <c r="K280" s="307">
        <f ca="1">IF(I280&gt;0,J280*100/I280,0)</f>
        <v>0</v>
      </c>
      <c r="L280" s="308"/>
      <c r="M280" s="308"/>
      <c r="N280" s="308"/>
      <c r="O280" s="308"/>
      <c r="P280" s="308"/>
    </row>
    <row r="281" spans="1:16" ht="19.5" x14ac:dyDescent="0.3">
      <c r="A281" s="300"/>
      <c r="B281" s="302"/>
      <c r="C281" s="302"/>
      <c r="D281" s="303"/>
      <c r="E281" s="302"/>
      <c r="F281" s="302"/>
      <c r="G281" s="304"/>
      <c r="H281" s="305" t="s">
        <v>44</v>
      </c>
      <c r="I281" s="306">
        <f ca="1">I292</f>
        <v>300</v>
      </c>
      <c r="J281" s="306">
        <f>J292</f>
        <v>0</v>
      </c>
      <c r="K281" s="307">
        <f ca="1">IF(I281&gt;0,J281*100/I281,0)</f>
        <v>0</v>
      </c>
      <c r="L281" s="308"/>
      <c r="M281" s="308"/>
      <c r="N281" s="308"/>
      <c r="O281" s="308"/>
      <c r="P281" s="308"/>
    </row>
    <row r="282" spans="1:16" ht="19.5" x14ac:dyDescent="0.3">
      <c r="A282" s="136"/>
      <c r="B282" s="41"/>
      <c r="C282" s="197" t="s">
        <v>16</v>
      </c>
      <c r="D282" s="397" t="s">
        <v>17</v>
      </c>
      <c r="E282" s="41"/>
      <c r="F282" s="41"/>
      <c r="G282" s="43"/>
      <c r="H282" s="139" t="s">
        <v>12</v>
      </c>
      <c r="I282" s="45"/>
      <c r="J282" s="45"/>
      <c r="K282" s="46"/>
      <c r="L282" s="140">
        <f ca="1">L283+L284</f>
        <v>85120</v>
      </c>
      <c r="M282" s="140">
        <f ca="1">M283+M284</f>
        <v>73480</v>
      </c>
      <c r="N282" s="140">
        <f ca="1">N283+N284</f>
        <v>1240</v>
      </c>
      <c r="O282" s="140">
        <f ca="1">IF(L282&gt;0,N282*100/L282,0)</f>
        <v>1.4567669172932332</v>
      </c>
      <c r="P282" s="140">
        <f ca="1">IF(M282&gt;0,N282*100/M282,0)</f>
        <v>1.6875340228633642</v>
      </c>
    </row>
    <row r="283" spans="1:16" ht="18.75" hidden="1" x14ac:dyDescent="0.25">
      <c r="A283" s="136"/>
      <c r="B283" s="41"/>
      <c r="C283" s="41"/>
      <c r="D283" s="41"/>
      <c r="E283" s="279" t="s">
        <v>18</v>
      </c>
      <c r="F283" s="41"/>
      <c r="G283" s="43"/>
      <c r="H283" s="141" t="s">
        <v>12</v>
      </c>
      <c r="I283" s="45"/>
      <c r="J283" s="45"/>
      <c r="K283" s="46"/>
      <c r="L283" s="50">
        <f>L286+L289</f>
        <v>0</v>
      </c>
      <c r="M283" s="50">
        <f>M286+M289</f>
        <v>0</v>
      </c>
      <c r="N283" s="50">
        <f>N286+N289</f>
        <v>0</v>
      </c>
      <c r="O283" s="50">
        <f>IF(L283&gt;0,N283*100/L283,0)</f>
        <v>0</v>
      </c>
      <c r="P283" s="50">
        <f>IF(M283&gt;0,N283*100/M283,0)</f>
        <v>0</v>
      </c>
    </row>
    <row r="284" spans="1:16" ht="18.75" x14ac:dyDescent="0.25">
      <c r="A284" s="136"/>
      <c r="B284" s="41"/>
      <c r="C284" s="41"/>
      <c r="D284" s="41"/>
      <c r="E284" s="254" t="s">
        <v>19</v>
      </c>
      <c r="F284" s="41"/>
      <c r="G284" s="43"/>
      <c r="H284" s="142" t="s">
        <v>12</v>
      </c>
      <c r="I284" s="45"/>
      <c r="J284" s="45"/>
      <c r="K284" s="46"/>
      <c r="L284" s="47">
        <f ca="1">L287+L290</f>
        <v>85120</v>
      </c>
      <c r="M284" s="47">
        <f ca="1">M287+M290</f>
        <v>73480</v>
      </c>
      <c r="N284" s="47">
        <f ca="1">N287+N290</f>
        <v>1240</v>
      </c>
      <c r="O284" s="47">
        <f ca="1">IF(L284&gt;0,N284*100/L284,0)</f>
        <v>1.4567669172932332</v>
      </c>
      <c r="P284" s="47">
        <f ca="1">IF(M284&gt;0,N284*100/M284,0)</f>
        <v>1.6875340228633642</v>
      </c>
    </row>
    <row r="285" spans="1:16" ht="18.75" x14ac:dyDescent="0.25">
      <c r="A285" s="136"/>
      <c r="B285" s="41"/>
      <c r="C285" s="41"/>
      <c r="D285" s="42" t="s">
        <v>20</v>
      </c>
      <c r="E285" s="41"/>
      <c r="F285" s="41"/>
      <c r="G285" s="43"/>
      <c r="H285" s="143" t="s">
        <v>12</v>
      </c>
      <c r="I285" s="144"/>
      <c r="J285" s="144"/>
      <c r="K285" s="145"/>
      <c r="L285" s="47">
        <f ca="1">L286+L287</f>
        <v>85120</v>
      </c>
      <c r="M285" s="47">
        <f ca="1">M286+M287</f>
        <v>73480</v>
      </c>
      <c r="N285" s="47">
        <f ca="1">N286+N287</f>
        <v>1240</v>
      </c>
      <c r="O285" s="47">
        <f ca="1">IF(L285&gt;0,N285*100/L285,0)</f>
        <v>1.4567669172932332</v>
      </c>
      <c r="P285" s="47">
        <f ca="1">IF(M285&gt;0,N285*100/M285,0)</f>
        <v>1.6875340228633642</v>
      </c>
    </row>
    <row r="286" spans="1:16" ht="18.75" hidden="1" x14ac:dyDescent="0.25">
      <c r="A286" s="136"/>
      <c r="B286" s="41"/>
      <c r="C286" s="41"/>
      <c r="D286" s="41"/>
      <c r="E286" s="279" t="s">
        <v>34</v>
      </c>
      <c r="F286" s="41"/>
      <c r="G286" s="43"/>
      <c r="H286" s="146" t="s">
        <v>12</v>
      </c>
      <c r="I286" s="144"/>
      <c r="J286" s="144"/>
      <c r="K286" s="145"/>
      <c r="L286" s="50">
        <v>0</v>
      </c>
      <c r="M286" s="50">
        <v>0</v>
      </c>
      <c r="N286" s="50">
        <v>0</v>
      </c>
      <c r="O286" s="50">
        <f>IF(L286&gt;0,N286*100/L286,0)</f>
        <v>0</v>
      </c>
      <c r="P286" s="50">
        <f>IF(M286&gt;0,N286*100/M286,0)</f>
        <v>0</v>
      </c>
    </row>
    <row r="287" spans="1:16" ht="18.75" x14ac:dyDescent="0.25">
      <c r="A287" s="136"/>
      <c r="B287" s="41"/>
      <c r="C287" s="41"/>
      <c r="D287" s="41"/>
      <c r="E287" s="254" t="s">
        <v>35</v>
      </c>
      <c r="F287" s="41"/>
      <c r="G287" s="43"/>
      <c r="H287" s="143" t="s">
        <v>12</v>
      </c>
      <c r="I287" s="144"/>
      <c r="J287" s="144"/>
      <c r="K287" s="145"/>
      <c r="L287" s="47">
        <f ca="1">IFERROR(__xludf.DUMMYFUNCTION("IMPORTRANGE(""https://docs.google.com/spreadsheets/d/1-uDff_7J0KD5mKrp0Vvzr7lt3OU09vwQwhkpOPPYv2Y/edit?usp=sharing"",""งบพรบ!DO15"")"),85120)</f>
        <v>85120</v>
      </c>
      <c r="M287" s="47">
        <f ca="1">IFERROR(__xludf.DUMMYFUNCTION("IMPORTRANGE(""https://docs.google.com/spreadsheets/d/1-uDff_7J0KD5mKrp0Vvzr7lt3OU09vwQwhkpOPPYv2Y/edit?usp=sharing"",""งบพรบ!DT15"")"),73480)</f>
        <v>73480</v>
      </c>
      <c r="N287" s="47">
        <f ca="1">IFERROR(__xludf.DUMMYFUNCTION("IMPORTRANGE(""https://docs.google.com/spreadsheets/d/1-uDff_7J0KD5mKrp0Vvzr7lt3OU09vwQwhkpOPPYv2Y/edit?usp=sharing"",""งบพรบ!DV15"")"),1240)</f>
        <v>1240</v>
      </c>
      <c r="O287" s="47">
        <f ca="1">IF(L287&gt;0,N287*100/L287,0)</f>
        <v>1.4567669172932332</v>
      </c>
      <c r="P287" s="47">
        <f ca="1">IF(M287&gt;0,N287*100/M287,0)</f>
        <v>1.6875340228633642</v>
      </c>
    </row>
    <row r="288" spans="1:16" ht="18.75" x14ac:dyDescent="0.25">
      <c r="A288" s="136"/>
      <c r="B288" s="41"/>
      <c r="C288" s="41"/>
      <c r="D288" s="42" t="s">
        <v>21</v>
      </c>
      <c r="E288" s="41"/>
      <c r="F288" s="41"/>
      <c r="G288" s="43"/>
      <c r="H288" s="147" t="s">
        <v>12</v>
      </c>
      <c r="I288" s="144"/>
      <c r="J288" s="144"/>
      <c r="K288" s="145"/>
      <c r="L288" s="47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</row>
    <row r="289" spans="1:16" ht="18.75" hidden="1" x14ac:dyDescent="0.25">
      <c r="A289" s="136"/>
      <c r="B289" s="41"/>
      <c r="C289" s="41"/>
      <c r="D289" s="41"/>
      <c r="E289" s="279" t="s">
        <v>18</v>
      </c>
      <c r="F289" s="41"/>
      <c r="G289" s="43"/>
      <c r="H289" s="146" t="s">
        <v>12</v>
      </c>
      <c r="I289" s="144"/>
      <c r="J289" s="144"/>
      <c r="K289" s="145"/>
      <c r="L289" s="50">
        <v>0</v>
      </c>
      <c r="M289" s="50">
        <v>0</v>
      </c>
      <c r="N289" s="50">
        <v>0</v>
      </c>
      <c r="O289" s="50">
        <f>IF(L289&gt;0,N289*100/L289,0)</f>
        <v>0</v>
      </c>
      <c r="P289" s="50">
        <f>IF(M289&gt;0,N289*100/M289,0)</f>
        <v>0</v>
      </c>
    </row>
    <row r="290" spans="1:16" ht="18.75" x14ac:dyDescent="0.25">
      <c r="A290" s="136"/>
      <c r="B290" s="41"/>
      <c r="C290" s="41"/>
      <c r="D290" s="41"/>
      <c r="E290" s="254" t="s">
        <v>19</v>
      </c>
      <c r="F290" s="41"/>
      <c r="G290" s="43"/>
      <c r="H290" s="147" t="s">
        <v>12</v>
      </c>
      <c r="I290" s="144"/>
      <c r="J290" s="144"/>
      <c r="K290" s="145"/>
      <c r="L290" s="47">
        <f ca="1">IFERROR(__xludf.DUMMYFUNCTION("IMPORTRANGE(""https://docs.google.com/spreadsheets/d/1-uDff_7J0KD5mKrp0Vvzr7lt3OU09vwQwhkpOPPYv2Y/edit?usp=sharing"",""งบพรบ!DR15"")"),0)</f>
        <v>0</v>
      </c>
      <c r="M290" s="47">
        <f ca="1">IFERROR(__xludf.DUMMYFUNCTION("IMPORTRANGE(""https://docs.google.com/spreadsheets/d/1-uDff_7J0KD5mKrp0Vvzr7lt3OU09vwQwhkpOPPYv2Y/edit?usp=sharing"",""งบพรบ!DU15"")"),0)</f>
        <v>0</v>
      </c>
      <c r="N290" s="47">
        <f ca="1">IFERROR(__xludf.DUMMYFUNCTION("IMPORTRANGE(""https://docs.google.com/spreadsheets/d/1-uDff_7J0KD5mKrp0Vvzr7lt3OU09vwQwhkpOPPYv2Y/edit?usp=sharing"",""งบพรบ!DW15"")"),0)</f>
        <v>0</v>
      </c>
      <c r="O290" s="47">
        <f ca="1">IF(L290&gt;0,N290*100/L290,0)</f>
        <v>0</v>
      </c>
      <c r="P290" s="47">
        <f ca="1">IF(M290&gt;0,N290*100/M290,0)</f>
        <v>0</v>
      </c>
    </row>
    <row r="291" spans="1:16" ht="19.5" x14ac:dyDescent="0.3">
      <c r="A291" s="148"/>
      <c r="B291" s="149"/>
      <c r="C291" s="197" t="s">
        <v>16</v>
      </c>
      <c r="D291" s="395" t="s">
        <v>36</v>
      </c>
      <c r="E291" s="151"/>
      <c r="F291" s="151"/>
      <c r="G291" s="152"/>
      <c r="H291" s="153"/>
      <c r="I291" s="144"/>
      <c r="J291" s="144"/>
      <c r="K291" s="145"/>
      <c r="L291" s="145"/>
      <c r="M291" s="145"/>
      <c r="N291" s="145"/>
      <c r="O291" s="145"/>
      <c r="P291" s="145"/>
    </row>
    <row r="292" spans="1:16" ht="18.75" x14ac:dyDescent="0.25">
      <c r="A292" s="148"/>
      <c r="B292" s="149"/>
      <c r="C292" s="149"/>
      <c r="D292" s="159" t="s">
        <v>114</v>
      </c>
      <c r="E292" s="149"/>
      <c r="F292" s="155"/>
      <c r="G292" s="153"/>
      <c r="H292" s="164" t="s">
        <v>44</v>
      </c>
      <c r="I292" s="169">
        <f ca="1">IFERROR(__xludf.DUMMYFUNCTION("IMPORTRANGE(""https://docs.google.com/spreadsheets/d/1eHaY18a8A9IcSdp1K8H6x8fbOy06t2VsZHhMHf-1x7Y/edit?usp=sharing"",""แผน!EE15"")"),300)</f>
        <v>300</v>
      </c>
      <c r="J292" s="250">
        <v>0</v>
      </c>
      <c r="K292" s="163">
        <f ca="1">IF(I292&gt;0,J292*100/I292,0)</f>
        <v>0</v>
      </c>
      <c r="L292" s="145"/>
      <c r="M292" s="145"/>
      <c r="N292" s="145"/>
      <c r="O292" s="145"/>
      <c r="P292" s="145"/>
    </row>
    <row r="293" spans="1:16" ht="19.5" x14ac:dyDescent="0.3">
      <c r="A293" s="148"/>
      <c r="B293" s="149"/>
      <c r="C293" s="149"/>
      <c r="D293" s="159" t="s">
        <v>115</v>
      </c>
      <c r="E293" s="149"/>
      <c r="F293" s="155"/>
      <c r="G293" s="153"/>
      <c r="H293" s="156" t="s">
        <v>33</v>
      </c>
      <c r="I293" s="157">
        <f ca="1">IFERROR(__xludf.DUMMYFUNCTION("IMPORTRANGE(""https://docs.google.com/spreadsheets/d/1eHaY18a8A9IcSdp1K8H6x8fbOy06t2VsZHhMHf-1x7Y/edit?usp=sharing"",""แผน!ED15"")"),30)</f>
        <v>30</v>
      </c>
      <c r="J293" s="157">
        <f>J296</f>
        <v>0</v>
      </c>
      <c r="K293" s="158">
        <f ca="1">IF(I293&gt;0,J293*100/I293,0)</f>
        <v>0</v>
      </c>
      <c r="L293" s="145"/>
      <c r="M293" s="145"/>
      <c r="N293" s="145"/>
      <c r="O293" s="145"/>
      <c r="P293" s="145"/>
    </row>
    <row r="294" spans="1:16" ht="19.5" x14ac:dyDescent="0.3">
      <c r="A294" s="148"/>
      <c r="B294" s="149"/>
      <c r="C294" s="149"/>
      <c r="D294" s="155"/>
      <c r="E294" s="167" t="s">
        <v>116</v>
      </c>
      <c r="F294" s="155"/>
      <c r="G294" s="153"/>
      <c r="H294" s="153"/>
      <c r="I294" s="144"/>
      <c r="J294" s="45"/>
      <c r="K294" s="145"/>
      <c r="L294" s="145"/>
      <c r="M294" s="145"/>
      <c r="N294" s="145"/>
      <c r="O294" s="145"/>
      <c r="P294" s="145"/>
    </row>
    <row r="295" spans="1:16" ht="19.5" x14ac:dyDescent="0.3">
      <c r="A295" s="148"/>
      <c r="B295" s="149"/>
      <c r="C295" s="149"/>
      <c r="D295" s="155"/>
      <c r="E295" s="159" t="s">
        <v>117</v>
      </c>
      <c r="F295" s="155"/>
      <c r="G295" s="153"/>
      <c r="H295" s="251" t="s">
        <v>33</v>
      </c>
      <c r="I295" s="161">
        <f ca="1">IFERROR(__xludf.DUMMYFUNCTION("IMPORTRANGE(""https://docs.google.com/spreadsheets/d/1eHaY18a8A9IcSdp1K8H6x8fbOy06t2VsZHhMHf-1x7Y/edit?usp=sharing"",""แผน!ED15"")"),30)</f>
        <v>30</v>
      </c>
      <c r="J295" s="250">
        <v>0</v>
      </c>
      <c r="K295" s="163">
        <f ca="1">IF(I295&gt;0,J295*100/I295,0)</f>
        <v>0</v>
      </c>
      <c r="L295" s="145"/>
      <c r="M295" s="145"/>
      <c r="N295" s="145"/>
      <c r="O295" s="145"/>
      <c r="P295" s="145"/>
    </row>
    <row r="296" spans="1:16" ht="19.5" x14ac:dyDescent="0.3">
      <c r="A296" s="148"/>
      <c r="B296" s="149"/>
      <c r="C296" s="149"/>
      <c r="D296" s="155"/>
      <c r="E296" s="159" t="s">
        <v>118</v>
      </c>
      <c r="F296" s="155"/>
      <c r="G296" s="153"/>
      <c r="H296" s="251" t="s">
        <v>33</v>
      </c>
      <c r="I296" s="161">
        <f ca="1">IFERROR(__xludf.DUMMYFUNCTION("IMPORTRANGE(""https://docs.google.com/spreadsheets/d/1eHaY18a8A9IcSdp1K8H6x8fbOy06t2VsZHhMHf-1x7Y/edit?usp=sharing"",""แผน!ED15"")"),30)</f>
        <v>30</v>
      </c>
      <c r="J296" s="250">
        <v>0</v>
      </c>
      <c r="K296" s="163">
        <f ca="1">IF(I296&gt;0,J296*100/I296,0)</f>
        <v>0</v>
      </c>
      <c r="L296" s="145"/>
      <c r="M296" s="145"/>
      <c r="N296" s="145"/>
      <c r="O296" s="145"/>
      <c r="P296" s="145"/>
    </row>
    <row r="297" spans="1:16" ht="12.75" hidden="1" x14ac:dyDescent="0.2">
      <c r="A297" s="165"/>
      <c r="B297" s="166"/>
      <c r="C297" s="166"/>
      <c r="D297" s="16"/>
      <c r="E297" s="16"/>
      <c r="F297" s="16"/>
      <c r="G297" s="17"/>
      <c r="H297" s="17"/>
      <c r="I297" s="18"/>
      <c r="J297" s="18"/>
      <c r="K297" s="19"/>
      <c r="L297" s="19"/>
      <c r="M297" s="19"/>
      <c r="N297" s="19"/>
      <c r="O297" s="19"/>
      <c r="P297" s="19"/>
    </row>
    <row r="298" spans="1:16" ht="12.75" hidden="1" x14ac:dyDescent="0.2">
      <c r="A298" s="165"/>
      <c r="B298" s="166"/>
      <c r="C298" s="166"/>
      <c r="D298" s="16"/>
      <c r="E298" s="16"/>
      <c r="F298" s="16"/>
      <c r="G298" s="17"/>
      <c r="H298" s="17"/>
      <c r="I298" s="18"/>
      <c r="J298" s="18"/>
      <c r="K298" s="19"/>
      <c r="L298" s="19"/>
      <c r="M298" s="19"/>
      <c r="N298" s="19"/>
      <c r="O298" s="19"/>
      <c r="P298" s="19"/>
    </row>
    <row r="299" spans="1:16" ht="12.75" hidden="1" x14ac:dyDescent="0.2">
      <c r="A299" s="309"/>
      <c r="B299" s="310"/>
      <c r="C299" s="310"/>
      <c r="D299" s="21"/>
      <c r="E299" s="21"/>
      <c r="F299" s="21"/>
      <c r="G299" s="12"/>
      <c r="H299" s="12"/>
      <c r="I299" s="13"/>
      <c r="J299" s="13"/>
      <c r="K299" s="14"/>
      <c r="L299" s="14"/>
      <c r="M299" s="14"/>
      <c r="N299" s="14"/>
      <c r="O299" s="14"/>
      <c r="P299" s="14"/>
    </row>
    <row r="300" spans="1:16" ht="19.5" x14ac:dyDescent="0.3">
      <c r="A300" s="311" t="s">
        <v>119</v>
      </c>
      <c r="B300" s="312"/>
      <c r="C300" s="312"/>
      <c r="D300" s="312"/>
      <c r="E300" s="313"/>
      <c r="F300" s="313"/>
      <c r="G300" s="313"/>
      <c r="H300" s="313"/>
      <c r="I300" s="314"/>
      <c r="J300" s="314"/>
      <c r="K300" s="315"/>
      <c r="L300" s="315"/>
      <c r="M300" s="315"/>
      <c r="N300" s="315"/>
      <c r="O300" s="315"/>
      <c r="P300" s="316"/>
    </row>
    <row r="301" spans="1:16" ht="19.5" x14ac:dyDescent="0.3">
      <c r="A301" s="317" t="s">
        <v>120</v>
      </c>
      <c r="B301" s="318"/>
      <c r="C301" s="318"/>
      <c r="D301" s="319"/>
      <c r="E301" s="319"/>
      <c r="F301" s="319"/>
      <c r="G301" s="320"/>
      <c r="H301" s="320"/>
      <c r="I301" s="321"/>
      <c r="J301" s="321"/>
      <c r="K301" s="322"/>
      <c r="L301" s="322"/>
      <c r="M301" s="322"/>
      <c r="N301" s="322"/>
      <c r="O301" s="322"/>
      <c r="P301" s="322"/>
    </row>
    <row r="302" spans="1:16" ht="19.5" x14ac:dyDescent="0.3">
      <c r="A302" s="323"/>
      <c r="B302" s="324" t="s">
        <v>121</v>
      </c>
      <c r="C302" s="325"/>
      <c r="D302" s="325"/>
      <c r="E302" s="325"/>
      <c r="F302" s="325"/>
      <c r="G302" s="326"/>
      <c r="H302" s="327" t="s">
        <v>33</v>
      </c>
      <c r="I302" s="328">
        <f ca="1">I314</f>
        <v>20</v>
      </c>
      <c r="J302" s="328">
        <f>J314</f>
        <v>0</v>
      </c>
      <c r="K302" s="329">
        <f ca="1">IF(I302&gt;0,J302*100/I302,0)</f>
        <v>0</v>
      </c>
      <c r="L302" s="330"/>
      <c r="M302" s="330"/>
      <c r="N302" s="330"/>
      <c r="O302" s="330"/>
      <c r="P302" s="330"/>
    </row>
    <row r="303" spans="1:16" ht="19.5" x14ac:dyDescent="0.3">
      <c r="A303" s="136"/>
      <c r="B303" s="41"/>
      <c r="C303" s="197" t="s">
        <v>16</v>
      </c>
      <c r="D303" s="397" t="s">
        <v>17</v>
      </c>
      <c r="E303" s="41"/>
      <c r="F303" s="41"/>
      <c r="G303" s="43"/>
      <c r="H303" s="139" t="s">
        <v>12</v>
      </c>
      <c r="I303" s="45"/>
      <c r="J303" s="45"/>
      <c r="K303" s="46"/>
      <c r="L303" s="140">
        <f ca="1">L304+L305</f>
        <v>389000</v>
      </c>
      <c r="M303" s="140">
        <f ca="1">M304+M305</f>
        <v>283400</v>
      </c>
      <c r="N303" s="140">
        <f ca="1">N304+N305</f>
        <v>37747.800000000003</v>
      </c>
      <c r="O303" s="140">
        <f ca="1">IF(L303&gt;0,N303*100/L303,0)</f>
        <v>9.7038046272493581</v>
      </c>
      <c r="P303" s="140">
        <f ca="1">IF(M303&gt;0,N303*100/M303,0)</f>
        <v>13.319618913196896</v>
      </c>
    </row>
    <row r="304" spans="1:16" ht="18.75" hidden="1" x14ac:dyDescent="0.25">
      <c r="A304" s="136"/>
      <c r="B304" s="41"/>
      <c r="C304" s="41"/>
      <c r="D304" s="41"/>
      <c r="E304" s="279" t="s">
        <v>18</v>
      </c>
      <c r="F304" s="41"/>
      <c r="G304" s="43"/>
      <c r="H304" s="141" t="s">
        <v>12</v>
      </c>
      <c r="I304" s="45"/>
      <c r="J304" s="45"/>
      <c r="K304" s="46"/>
      <c r="L304" s="50">
        <f>L307+L310</f>
        <v>0</v>
      </c>
      <c r="M304" s="50">
        <f>M307+M310</f>
        <v>0</v>
      </c>
      <c r="N304" s="50">
        <f>N307+N310</f>
        <v>0</v>
      </c>
      <c r="O304" s="50">
        <f>IF(L304&gt;0,N304*100/L304,0)</f>
        <v>0</v>
      </c>
      <c r="P304" s="50">
        <f>IF(M304&gt;0,N304*100/M304,0)</f>
        <v>0</v>
      </c>
    </row>
    <row r="305" spans="1:16" ht="18.75" x14ac:dyDescent="0.25">
      <c r="A305" s="136"/>
      <c r="B305" s="41"/>
      <c r="C305" s="41"/>
      <c r="D305" s="41"/>
      <c r="E305" s="254" t="s">
        <v>19</v>
      </c>
      <c r="F305" s="41"/>
      <c r="G305" s="43"/>
      <c r="H305" s="142" t="s">
        <v>12</v>
      </c>
      <c r="I305" s="45"/>
      <c r="J305" s="45"/>
      <c r="K305" s="46"/>
      <c r="L305" s="47">
        <f ca="1">L308+L311</f>
        <v>389000</v>
      </c>
      <c r="M305" s="47">
        <f ca="1">M308+M311</f>
        <v>283400</v>
      </c>
      <c r="N305" s="47">
        <f ca="1">N308+N311</f>
        <v>37747.800000000003</v>
      </c>
      <c r="O305" s="47">
        <f ca="1">IF(L305&gt;0,N305*100/L305,0)</f>
        <v>9.7038046272493581</v>
      </c>
      <c r="P305" s="47">
        <f ca="1">IF(M305&gt;0,N305*100/M305,0)</f>
        <v>13.319618913196896</v>
      </c>
    </row>
    <row r="306" spans="1:16" ht="18.75" x14ac:dyDescent="0.25">
      <c r="A306" s="136"/>
      <c r="B306" s="41"/>
      <c r="C306" s="41"/>
      <c r="D306" s="42" t="s">
        <v>20</v>
      </c>
      <c r="E306" s="41"/>
      <c r="F306" s="41"/>
      <c r="G306" s="43"/>
      <c r="H306" s="143" t="s">
        <v>12</v>
      </c>
      <c r="I306" s="144"/>
      <c r="J306" s="144"/>
      <c r="K306" s="145"/>
      <c r="L306" s="47">
        <f ca="1">L307+L308</f>
        <v>389000</v>
      </c>
      <c r="M306" s="47">
        <f ca="1">M307+M308</f>
        <v>283400</v>
      </c>
      <c r="N306" s="47">
        <f ca="1">N307+N308</f>
        <v>37747.800000000003</v>
      </c>
      <c r="O306" s="47">
        <f ca="1">IF(L306&gt;0,N306*100/L306,0)</f>
        <v>9.7038046272493581</v>
      </c>
      <c r="P306" s="47">
        <f ca="1">IF(M306&gt;0,N306*100/M306,0)</f>
        <v>13.319618913196896</v>
      </c>
    </row>
    <row r="307" spans="1:16" ht="18.75" hidden="1" x14ac:dyDescent="0.25">
      <c r="A307" s="136"/>
      <c r="B307" s="41"/>
      <c r="C307" s="41"/>
      <c r="D307" s="41"/>
      <c r="E307" s="279" t="s">
        <v>34</v>
      </c>
      <c r="F307" s="41"/>
      <c r="G307" s="43"/>
      <c r="H307" s="146" t="s">
        <v>12</v>
      </c>
      <c r="I307" s="144"/>
      <c r="J307" s="144"/>
      <c r="K307" s="145"/>
      <c r="L307" s="50">
        <v>0</v>
      </c>
      <c r="M307" s="50">
        <v>0</v>
      </c>
      <c r="N307" s="50">
        <v>0</v>
      </c>
      <c r="O307" s="50">
        <f>IF(L307&gt;0,N307*100/L307,0)</f>
        <v>0</v>
      </c>
      <c r="P307" s="50">
        <f>IF(M307&gt;0,N307*100/M307,0)</f>
        <v>0</v>
      </c>
    </row>
    <row r="308" spans="1:16" ht="18.75" x14ac:dyDescent="0.25">
      <c r="A308" s="136"/>
      <c r="B308" s="41"/>
      <c r="C308" s="41"/>
      <c r="D308" s="41"/>
      <c r="E308" s="254" t="s">
        <v>35</v>
      </c>
      <c r="F308" s="41"/>
      <c r="G308" s="43"/>
      <c r="H308" s="143" t="s">
        <v>12</v>
      </c>
      <c r="I308" s="144"/>
      <c r="J308" s="144"/>
      <c r="K308" s="145"/>
      <c r="L308" s="47">
        <f ca="1">IFERROR(__xludf.DUMMYFUNCTION("IMPORTRANGE(""https://docs.google.com/spreadsheets/d/1-uDff_7J0KD5mKrp0Vvzr7lt3OU09vwQwhkpOPPYv2Y/edit?usp=sharing"",""งบพรบ!DY15"")"),389000)</f>
        <v>389000</v>
      </c>
      <c r="M308" s="47">
        <f ca="1">IFERROR(__xludf.DUMMYFUNCTION("IMPORTRANGE(""https://docs.google.com/spreadsheets/d/1-uDff_7J0KD5mKrp0Vvzr7lt3OU09vwQwhkpOPPYv2Y/edit?usp=sharing"",""งบพรบ!ED15"")"),283400)</f>
        <v>283400</v>
      </c>
      <c r="N308" s="47">
        <f ca="1">IFERROR(__xludf.DUMMYFUNCTION("IMPORTRANGE(""https://docs.google.com/spreadsheets/d/1-uDff_7J0KD5mKrp0Vvzr7lt3OU09vwQwhkpOPPYv2Y/edit?usp=sharing"",""งบพรบ!EF15"")"),37747.8)</f>
        <v>37747.800000000003</v>
      </c>
      <c r="O308" s="47">
        <f ca="1">IF(L308&gt;0,N308*100/L308,0)</f>
        <v>9.7038046272493581</v>
      </c>
      <c r="P308" s="47">
        <f ca="1">IF(M308&gt;0,N308*100/M308,0)</f>
        <v>13.319618913196896</v>
      </c>
    </row>
    <row r="309" spans="1:16" ht="18.75" x14ac:dyDescent="0.25">
      <c r="A309" s="136"/>
      <c r="B309" s="41"/>
      <c r="C309" s="41"/>
      <c r="D309" s="42" t="s">
        <v>21</v>
      </c>
      <c r="E309" s="41"/>
      <c r="F309" s="41"/>
      <c r="G309" s="43"/>
      <c r="H309" s="147" t="s">
        <v>12</v>
      </c>
      <c r="I309" s="144"/>
      <c r="J309" s="144"/>
      <c r="K309" s="145"/>
      <c r="L309" s="47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</row>
    <row r="310" spans="1:16" ht="18.75" hidden="1" x14ac:dyDescent="0.25">
      <c r="A310" s="136"/>
      <c r="B310" s="41"/>
      <c r="C310" s="41"/>
      <c r="D310" s="41"/>
      <c r="E310" s="279" t="s">
        <v>18</v>
      </c>
      <c r="F310" s="41"/>
      <c r="G310" s="43"/>
      <c r="H310" s="146" t="s">
        <v>12</v>
      </c>
      <c r="I310" s="144"/>
      <c r="J310" s="144"/>
      <c r="K310" s="145"/>
      <c r="L310" s="50">
        <v>0</v>
      </c>
      <c r="M310" s="50">
        <v>0</v>
      </c>
      <c r="N310" s="50">
        <v>0</v>
      </c>
      <c r="O310" s="50">
        <f>IF(L310&gt;0,N310*100/L310,0)</f>
        <v>0</v>
      </c>
      <c r="P310" s="50">
        <f>IF(M310&gt;0,N310*100/M310,0)</f>
        <v>0</v>
      </c>
    </row>
    <row r="311" spans="1:16" ht="18.75" x14ac:dyDescent="0.25">
      <c r="A311" s="136"/>
      <c r="B311" s="41"/>
      <c r="C311" s="41"/>
      <c r="D311" s="41"/>
      <c r="E311" s="254" t="s">
        <v>19</v>
      </c>
      <c r="F311" s="41"/>
      <c r="G311" s="43"/>
      <c r="H311" s="147" t="s">
        <v>12</v>
      </c>
      <c r="I311" s="144"/>
      <c r="J311" s="144"/>
      <c r="K311" s="145"/>
      <c r="L311" s="47">
        <f ca="1">IFERROR(__xludf.DUMMYFUNCTION("IMPORTRANGE(""https://docs.google.com/spreadsheets/d/1-uDff_7J0KD5mKrp0Vvzr7lt3OU09vwQwhkpOPPYv2Y/edit?usp=sharing"",""งบพรบ!EB15"")"),0)</f>
        <v>0</v>
      </c>
      <c r="M311" s="47">
        <f ca="1">IFERROR(__xludf.DUMMYFUNCTION("IMPORTRANGE(""https://docs.google.com/spreadsheets/d/1-uDff_7J0KD5mKrp0Vvzr7lt3OU09vwQwhkpOPPYv2Y/edit?usp=sharing"",""งบพรบ!EE15"")"),0)</f>
        <v>0</v>
      </c>
      <c r="N311" s="47">
        <f ca="1">IFERROR(__xludf.DUMMYFUNCTION("IMPORTRANGE(""https://docs.google.com/spreadsheets/d/1-uDff_7J0KD5mKrp0Vvzr7lt3OU09vwQwhkpOPPYv2Y/edit?usp=sharing"",""งบพรบ!EG15"")"),0)</f>
        <v>0</v>
      </c>
      <c r="O311" s="47">
        <f ca="1">IF(L311&gt;0,N311*100/L311,0)</f>
        <v>0</v>
      </c>
      <c r="P311" s="47">
        <f ca="1">IF(M311&gt;0,N311*100/M311,0)</f>
        <v>0</v>
      </c>
    </row>
    <row r="312" spans="1:16" ht="19.5" x14ac:dyDescent="0.3">
      <c r="A312" s="148"/>
      <c r="B312" s="149"/>
      <c r="C312" s="197" t="s">
        <v>16</v>
      </c>
      <c r="D312" s="395" t="s">
        <v>36</v>
      </c>
      <c r="E312" s="151"/>
      <c r="F312" s="151"/>
      <c r="G312" s="152"/>
      <c r="H312" s="153"/>
      <c r="I312" s="45"/>
      <c r="J312" s="45"/>
      <c r="K312" s="46"/>
      <c r="L312" s="46"/>
      <c r="M312" s="46"/>
      <c r="N312" s="46"/>
      <c r="O312" s="46"/>
      <c r="P312" s="46"/>
    </row>
    <row r="313" spans="1:16" ht="18.75" x14ac:dyDescent="0.25">
      <c r="A313" s="148"/>
      <c r="B313" s="149"/>
      <c r="C313" s="149"/>
      <c r="D313" s="159" t="s">
        <v>122</v>
      </c>
      <c r="E313" s="155"/>
      <c r="F313" s="155"/>
      <c r="G313" s="153"/>
      <c r="H313" s="153"/>
      <c r="I313" s="45"/>
      <c r="J313" s="250">
        <v>0</v>
      </c>
      <c r="K313" s="46"/>
      <c r="L313" s="46"/>
      <c r="M313" s="46"/>
      <c r="N313" s="46"/>
      <c r="O313" s="46"/>
      <c r="P313" s="46"/>
    </row>
    <row r="314" spans="1:16" ht="18.75" x14ac:dyDescent="0.25">
      <c r="A314" s="148"/>
      <c r="B314" s="149"/>
      <c r="C314" s="149"/>
      <c r="D314" s="159" t="s">
        <v>115</v>
      </c>
      <c r="E314" s="155"/>
      <c r="F314" s="155"/>
      <c r="G314" s="153"/>
      <c r="H314" s="251" t="s">
        <v>33</v>
      </c>
      <c r="I314" s="169">
        <f ca="1">IFERROR(__xludf.DUMMYFUNCTION("IMPORTRANGE(""https://docs.google.com/spreadsheets/d/1eHaY18a8A9IcSdp1K8H6x8fbOy06t2VsZHhMHf-1x7Y/edit?usp=sharing"",""แผน!EF15"")"),20)</f>
        <v>20</v>
      </c>
      <c r="J314" s="250">
        <v>0</v>
      </c>
      <c r="K314" s="47">
        <f ca="1">IF(I314&gt;0,J314*100/I314,0)</f>
        <v>0</v>
      </c>
      <c r="L314" s="46"/>
      <c r="M314" s="46"/>
      <c r="N314" s="46"/>
      <c r="O314" s="46"/>
      <c r="P314" s="46"/>
    </row>
    <row r="315" spans="1:16" ht="18.75" x14ac:dyDescent="0.25">
      <c r="A315" s="148"/>
      <c r="B315" s="149"/>
      <c r="C315" s="149"/>
      <c r="D315" s="159" t="s">
        <v>123</v>
      </c>
      <c r="E315" s="155"/>
      <c r="F315" s="155"/>
      <c r="G315" s="153"/>
      <c r="H315" s="251" t="s">
        <v>33</v>
      </c>
      <c r="I315" s="169">
        <f ca="1">IFERROR(__xludf.DUMMYFUNCTION("IMPORTRANGE(""https://docs.google.com/spreadsheets/d/1eHaY18a8A9IcSdp1K8H6x8fbOy06t2VsZHhMHf-1x7Y/edit?usp=sharing"",""แผน!EG15"")"),4)</f>
        <v>4</v>
      </c>
      <c r="J315" s="250">
        <v>0</v>
      </c>
      <c r="K315" s="47">
        <f ca="1">IF(I315&gt;0,J315*100/I315,0)</f>
        <v>0</v>
      </c>
      <c r="L315" s="46"/>
      <c r="M315" s="46"/>
      <c r="N315" s="46"/>
      <c r="O315" s="46"/>
      <c r="P315" s="46"/>
    </row>
    <row r="316" spans="1:16" ht="18.75" x14ac:dyDescent="0.25">
      <c r="A316" s="148"/>
      <c r="B316" s="149"/>
      <c r="C316" s="149"/>
      <c r="D316" s="159" t="s">
        <v>48</v>
      </c>
      <c r="E316" s="155"/>
      <c r="F316" s="155"/>
      <c r="G316" s="153"/>
      <c r="H316" s="251" t="s">
        <v>33</v>
      </c>
      <c r="I316" s="169">
        <f ca="1">IFERROR(__xludf.DUMMYFUNCTION("IMPORTRANGE(""https://docs.google.com/spreadsheets/d/1eHaY18a8A9IcSdp1K8H6x8fbOy06t2VsZHhMHf-1x7Y/edit?usp=sharing"",""แผน!EH15"")"),20)</f>
        <v>20</v>
      </c>
      <c r="J316" s="250">
        <v>0</v>
      </c>
      <c r="K316" s="47">
        <f ca="1">IF(I316&gt;0,J316*100/I316,0)</f>
        <v>0</v>
      </c>
      <c r="L316" s="46"/>
      <c r="M316" s="46"/>
      <c r="N316" s="46"/>
      <c r="O316" s="46"/>
      <c r="P316" s="46"/>
    </row>
    <row r="317" spans="1:16" ht="18.75" hidden="1" x14ac:dyDescent="0.25">
      <c r="A317" s="227"/>
      <c r="B317" s="228"/>
      <c r="C317" s="228"/>
      <c r="D317" s="279" t="s">
        <v>124</v>
      </c>
      <c r="E317" s="41"/>
      <c r="F317" s="41"/>
      <c r="G317" s="43"/>
      <c r="H317" s="49" t="s">
        <v>33</v>
      </c>
      <c r="I317" s="200">
        <f ca="1">IFERROR(__xludf.DUMMYFUNCTION("IMPORTRANGE(""https://docs.google.com/spreadsheets/d/1eHaY18a8A9IcSdp1K8H6x8fbOy06t2VsZHhMHf-1x7Y/edit?usp=sharing"",""แผน!EI15"")"),4)</f>
        <v>4</v>
      </c>
      <c r="J317" s="200">
        <v>0</v>
      </c>
      <c r="K317" s="50">
        <f ca="1">IF(I317&gt;0,J317*100/I317,0)</f>
        <v>0</v>
      </c>
      <c r="L317" s="46"/>
      <c r="M317" s="46"/>
      <c r="N317" s="46"/>
      <c r="O317" s="46"/>
      <c r="P317" s="46"/>
    </row>
    <row r="318" spans="1:16" ht="19.5" hidden="1" x14ac:dyDescent="0.3">
      <c r="A318" s="317" t="s">
        <v>125</v>
      </c>
      <c r="B318" s="318"/>
      <c r="C318" s="318"/>
      <c r="D318" s="319"/>
      <c r="E318" s="318"/>
      <c r="F318" s="318"/>
      <c r="G318" s="318"/>
      <c r="H318" s="319"/>
      <c r="I318" s="321"/>
      <c r="J318" s="321"/>
      <c r="K318" s="322"/>
      <c r="L318" s="322"/>
      <c r="M318" s="322"/>
      <c r="N318" s="322"/>
      <c r="O318" s="322"/>
      <c r="P318" s="322"/>
    </row>
    <row r="319" spans="1:16" ht="19.5" hidden="1" x14ac:dyDescent="0.3">
      <c r="A319" s="331"/>
      <c r="B319" s="324" t="s">
        <v>126</v>
      </c>
      <c r="C319" s="332"/>
      <c r="D319" s="333"/>
      <c r="E319" s="325"/>
      <c r="F319" s="325"/>
      <c r="G319" s="326"/>
      <c r="H319" s="327" t="s">
        <v>127</v>
      </c>
      <c r="I319" s="328">
        <f ca="1">I330</f>
        <v>0</v>
      </c>
      <c r="J319" s="328">
        <f>J330</f>
        <v>0</v>
      </c>
      <c r="K319" s="329">
        <f ca="1">IF(I319&gt;0,J319*100/I319,0)</f>
        <v>0</v>
      </c>
      <c r="L319" s="330"/>
      <c r="M319" s="330"/>
      <c r="N319" s="330"/>
      <c r="O319" s="330"/>
      <c r="P319" s="330"/>
    </row>
    <row r="320" spans="1:16" ht="19.5" hidden="1" x14ac:dyDescent="0.3">
      <c r="A320" s="136"/>
      <c r="B320" s="41"/>
      <c r="C320" s="197" t="s">
        <v>16</v>
      </c>
      <c r="D320" s="397" t="s">
        <v>17</v>
      </c>
      <c r="E320" s="41"/>
      <c r="F320" s="41"/>
      <c r="G320" s="43"/>
      <c r="H320" s="139" t="s">
        <v>12</v>
      </c>
      <c r="I320" s="45"/>
      <c r="J320" s="45"/>
      <c r="K320" s="46"/>
      <c r="L320" s="140">
        <f ca="1">L321+L322</f>
        <v>0</v>
      </c>
      <c r="M320" s="140">
        <f ca="1">M321+M322</f>
        <v>0</v>
      </c>
      <c r="N320" s="140">
        <f ca="1">N321+N322</f>
        <v>0</v>
      </c>
      <c r="O320" s="140">
        <f ca="1">IF(L320&gt;0,N320*100/L320,0)</f>
        <v>0</v>
      </c>
      <c r="P320" s="140">
        <f ca="1">IF(M320&gt;0,N320*100/M320,0)</f>
        <v>0</v>
      </c>
    </row>
    <row r="321" spans="1:16" ht="18.75" hidden="1" x14ac:dyDescent="0.25">
      <c r="A321" s="136"/>
      <c r="B321" s="41"/>
      <c r="C321" s="41"/>
      <c r="D321" s="41"/>
      <c r="E321" s="279" t="s">
        <v>18</v>
      </c>
      <c r="F321" s="41"/>
      <c r="G321" s="43"/>
      <c r="H321" s="141" t="s">
        <v>12</v>
      </c>
      <c r="I321" s="45"/>
      <c r="J321" s="45"/>
      <c r="K321" s="46"/>
      <c r="L321" s="50">
        <f>L324+L327</f>
        <v>0</v>
      </c>
      <c r="M321" s="50">
        <f>M324+M327</f>
        <v>0</v>
      </c>
      <c r="N321" s="50">
        <f>N324+N327</f>
        <v>0</v>
      </c>
      <c r="O321" s="50">
        <f>IF(L321&gt;0,N321*100/L321,0)</f>
        <v>0</v>
      </c>
      <c r="P321" s="50">
        <f>IF(M321&gt;0,N321*100/M321,0)</f>
        <v>0</v>
      </c>
    </row>
    <row r="322" spans="1:16" ht="18.75" hidden="1" x14ac:dyDescent="0.25">
      <c r="A322" s="136"/>
      <c r="B322" s="41"/>
      <c r="C322" s="41"/>
      <c r="D322" s="41"/>
      <c r="E322" s="254" t="s">
        <v>19</v>
      </c>
      <c r="F322" s="41"/>
      <c r="G322" s="43"/>
      <c r="H322" s="142" t="s">
        <v>12</v>
      </c>
      <c r="I322" s="45"/>
      <c r="J322" s="45"/>
      <c r="K322" s="46"/>
      <c r="L322" s="47">
        <f ca="1">L325+L328</f>
        <v>0</v>
      </c>
      <c r="M322" s="47">
        <f ca="1">M325+M328</f>
        <v>0</v>
      </c>
      <c r="N322" s="47">
        <f ca="1">N325+N328</f>
        <v>0</v>
      </c>
      <c r="O322" s="47">
        <f ca="1">IF(L322&gt;0,N322*100/L322,0)</f>
        <v>0</v>
      </c>
      <c r="P322" s="47">
        <f ca="1">IF(M322&gt;0,N322*100/M322,0)</f>
        <v>0</v>
      </c>
    </row>
    <row r="323" spans="1:16" ht="18.75" hidden="1" x14ac:dyDescent="0.25">
      <c r="A323" s="136"/>
      <c r="B323" s="41"/>
      <c r="C323" s="41"/>
      <c r="D323" s="42" t="s">
        <v>20</v>
      </c>
      <c r="E323" s="41"/>
      <c r="F323" s="41"/>
      <c r="G323" s="43"/>
      <c r="H323" s="143" t="s">
        <v>12</v>
      </c>
      <c r="I323" s="144"/>
      <c r="J323" s="144"/>
      <c r="K323" s="145"/>
      <c r="L323" s="47">
        <f ca="1">L324+L325</f>
        <v>0</v>
      </c>
      <c r="M323" s="47">
        <f ca="1">M324+M325</f>
        <v>0</v>
      </c>
      <c r="N323" s="47">
        <f ca="1">N324+N325</f>
        <v>0</v>
      </c>
      <c r="O323" s="47">
        <f ca="1">IF(L323&gt;0,N323*100/L323,0)</f>
        <v>0</v>
      </c>
      <c r="P323" s="47">
        <f ca="1">IF(M323&gt;0,N323*100/M323,0)</f>
        <v>0</v>
      </c>
    </row>
    <row r="324" spans="1:16" ht="18.75" hidden="1" x14ac:dyDescent="0.25">
      <c r="A324" s="136"/>
      <c r="B324" s="41"/>
      <c r="C324" s="41"/>
      <c r="D324" s="41"/>
      <c r="E324" s="279" t="s">
        <v>34</v>
      </c>
      <c r="F324" s="41"/>
      <c r="G324" s="43"/>
      <c r="H324" s="146" t="s">
        <v>12</v>
      </c>
      <c r="I324" s="144"/>
      <c r="J324" s="144"/>
      <c r="K324" s="145"/>
      <c r="L324" s="50">
        <v>0</v>
      </c>
      <c r="M324" s="50">
        <v>0</v>
      </c>
      <c r="N324" s="50">
        <v>0</v>
      </c>
      <c r="O324" s="50">
        <f>IF(L324&gt;0,N324*100/L324,0)</f>
        <v>0</v>
      </c>
      <c r="P324" s="50">
        <f>IF(M324&gt;0,N324*100/M324,0)</f>
        <v>0</v>
      </c>
    </row>
    <row r="325" spans="1:16" ht="18.75" hidden="1" x14ac:dyDescent="0.25">
      <c r="A325" s="136"/>
      <c r="B325" s="41"/>
      <c r="C325" s="41"/>
      <c r="D325" s="41"/>
      <c r="E325" s="254" t="s">
        <v>35</v>
      </c>
      <c r="F325" s="41"/>
      <c r="G325" s="43"/>
      <c r="H325" s="143" t="s">
        <v>12</v>
      </c>
      <c r="I325" s="144"/>
      <c r="J325" s="144"/>
      <c r="K325" s="145"/>
      <c r="L325" s="47">
        <f ca="1">IFERROR(__xludf.DUMMYFUNCTION("IMPORTRANGE(""https://docs.google.com/spreadsheets/d/1-uDff_7J0KD5mKrp0Vvzr7lt3OU09vwQwhkpOPPYv2Y/edit?usp=sharing"",""งบพรบ!EI15"")"),0)</f>
        <v>0</v>
      </c>
      <c r="M325" s="47">
        <f ca="1">IFERROR(__xludf.DUMMYFUNCTION("IMPORTRANGE(""https://docs.google.com/spreadsheets/d/1-uDff_7J0KD5mKrp0Vvzr7lt3OU09vwQwhkpOPPYv2Y/edit?usp=sharing"",""งบพรบ!EN15"")"),0)</f>
        <v>0</v>
      </c>
      <c r="N325" s="47">
        <f ca="1">IFERROR(__xludf.DUMMYFUNCTION("IMPORTRANGE(""https://docs.google.com/spreadsheets/d/1-uDff_7J0KD5mKrp0Vvzr7lt3OU09vwQwhkpOPPYv2Y/edit?usp=sharing"",""งบพรบ!EP15"")"),0)</f>
        <v>0</v>
      </c>
      <c r="O325" s="47">
        <f ca="1">IF(L325&gt;0,N325*100/L325,0)</f>
        <v>0</v>
      </c>
      <c r="P325" s="47">
        <f ca="1">IF(M325&gt;0,N325*100/M325,0)</f>
        <v>0</v>
      </c>
    </row>
    <row r="326" spans="1:16" ht="18.75" hidden="1" x14ac:dyDescent="0.25">
      <c r="A326" s="136"/>
      <c r="B326" s="41"/>
      <c r="C326" s="41"/>
      <c r="D326" s="42" t="s">
        <v>21</v>
      </c>
      <c r="E326" s="41"/>
      <c r="F326" s="41"/>
      <c r="G326" s="43"/>
      <c r="H326" s="147" t="s">
        <v>12</v>
      </c>
      <c r="I326" s="144"/>
      <c r="J326" s="144"/>
      <c r="K326" s="145"/>
      <c r="L326" s="47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</row>
    <row r="327" spans="1:16" ht="18.75" hidden="1" x14ac:dyDescent="0.25">
      <c r="A327" s="136"/>
      <c r="B327" s="41"/>
      <c r="C327" s="41"/>
      <c r="D327" s="41"/>
      <c r="E327" s="279" t="s">
        <v>18</v>
      </c>
      <c r="F327" s="41"/>
      <c r="G327" s="43"/>
      <c r="H327" s="146" t="s">
        <v>12</v>
      </c>
      <c r="I327" s="144"/>
      <c r="J327" s="144"/>
      <c r="K327" s="145"/>
      <c r="L327" s="50">
        <v>0</v>
      </c>
      <c r="M327" s="50">
        <v>0</v>
      </c>
      <c r="N327" s="50">
        <v>0</v>
      </c>
      <c r="O327" s="50">
        <f>IF(L327&gt;0,N327*100/L327,0)</f>
        <v>0</v>
      </c>
      <c r="P327" s="50">
        <f>IF(M327&gt;0,N327*100/M327,0)</f>
        <v>0</v>
      </c>
    </row>
    <row r="328" spans="1:16" ht="18.75" hidden="1" x14ac:dyDescent="0.25">
      <c r="A328" s="136"/>
      <c r="B328" s="41"/>
      <c r="C328" s="41"/>
      <c r="D328" s="41"/>
      <c r="E328" s="254" t="s">
        <v>19</v>
      </c>
      <c r="F328" s="41"/>
      <c r="G328" s="43"/>
      <c r="H328" s="147" t="s">
        <v>12</v>
      </c>
      <c r="I328" s="144"/>
      <c r="J328" s="144"/>
      <c r="K328" s="145"/>
      <c r="L328" s="47">
        <f ca="1">IFERROR(__xludf.DUMMYFUNCTION("IMPORTRANGE(""https://docs.google.com/spreadsheets/d/1-uDff_7J0KD5mKrp0Vvzr7lt3OU09vwQwhkpOPPYv2Y/edit?usp=sharing"",""งบพรบ!EL15"")"),0)</f>
        <v>0</v>
      </c>
      <c r="M328" s="47">
        <f ca="1">IFERROR(__xludf.DUMMYFUNCTION("IMPORTRANGE(""https://docs.google.com/spreadsheets/d/1-uDff_7J0KD5mKrp0Vvzr7lt3OU09vwQwhkpOPPYv2Y/edit?usp=sharing"",""งบพรบ!EO15"")"),0)</f>
        <v>0</v>
      </c>
      <c r="N328" s="47">
        <f ca="1">IFERROR(__xludf.DUMMYFUNCTION("IMPORTRANGE(""https://docs.google.com/spreadsheets/d/1-uDff_7J0KD5mKrp0Vvzr7lt3OU09vwQwhkpOPPYv2Y/edit?usp=sharing"",""งบพรบ!EQ15"")"),0)</f>
        <v>0</v>
      </c>
      <c r="O328" s="47">
        <f ca="1">IF(L328&gt;0,N328*100/L328,0)</f>
        <v>0</v>
      </c>
      <c r="P328" s="47">
        <f ca="1">IF(M328&gt;0,N328*100/M328,0)</f>
        <v>0</v>
      </c>
    </row>
    <row r="329" spans="1:16" ht="19.5" hidden="1" x14ac:dyDescent="0.3">
      <c r="A329" s="148"/>
      <c r="B329" s="149"/>
      <c r="C329" s="197" t="s">
        <v>16</v>
      </c>
      <c r="D329" s="395" t="s">
        <v>36</v>
      </c>
      <c r="E329" s="151"/>
      <c r="F329" s="151"/>
      <c r="G329" s="152"/>
      <c r="H329" s="153"/>
      <c r="I329" s="144"/>
      <c r="J329" s="45"/>
      <c r="K329" s="46"/>
      <c r="L329" s="46"/>
      <c r="M329" s="46"/>
      <c r="N329" s="46"/>
      <c r="O329" s="145"/>
      <c r="P329" s="145"/>
    </row>
    <row r="330" spans="1:16" ht="18.75" hidden="1" x14ac:dyDescent="0.25">
      <c r="A330" s="148"/>
      <c r="B330" s="149"/>
      <c r="C330" s="149"/>
      <c r="D330" s="154" t="s">
        <v>128</v>
      </c>
      <c r="E330" s="155"/>
      <c r="F330" s="155"/>
      <c r="G330" s="153"/>
      <c r="H330" s="44" t="s">
        <v>127</v>
      </c>
      <c r="I330" s="169">
        <f ca="1">IFERROR(__xludf.DUMMYFUNCTION("IMPORTRANGE(""https://docs.google.com/spreadsheets/d/1eHaY18a8A9IcSdp1K8H6x8fbOy06t2VsZHhMHf-1x7Y/edit?usp=sharing"",""แผน!EJ15"")"),0)</f>
        <v>0</v>
      </c>
      <c r="J330" s="250">
        <v>0</v>
      </c>
      <c r="K330" s="47">
        <f ca="1">IF(I330&gt;0,J330*100/I330,0)</f>
        <v>0</v>
      </c>
      <c r="L330" s="46"/>
      <c r="M330" s="46"/>
      <c r="N330" s="46"/>
      <c r="O330" s="145"/>
      <c r="P330" s="145"/>
    </row>
    <row r="331" spans="1:16" ht="19.5" x14ac:dyDescent="0.3">
      <c r="A331" s="317" t="s">
        <v>129</v>
      </c>
      <c r="B331" s="318"/>
      <c r="C331" s="318"/>
      <c r="D331" s="319"/>
      <c r="E331" s="318"/>
      <c r="F331" s="318"/>
      <c r="G331" s="318"/>
      <c r="H331" s="319"/>
      <c r="I331" s="321"/>
      <c r="J331" s="321"/>
      <c r="K331" s="322"/>
      <c r="L331" s="322"/>
      <c r="M331" s="322"/>
      <c r="N331" s="322"/>
      <c r="O331" s="322"/>
      <c r="P331" s="322"/>
    </row>
    <row r="332" spans="1:16" ht="19.5" x14ac:dyDescent="0.3">
      <c r="A332" s="323"/>
      <c r="B332" s="324" t="s">
        <v>130</v>
      </c>
      <c r="C332" s="333"/>
      <c r="D332" s="325"/>
      <c r="E332" s="325"/>
      <c r="F332" s="325"/>
      <c r="G332" s="326"/>
      <c r="H332" s="327" t="s">
        <v>33</v>
      </c>
      <c r="I332" s="334">
        <f ca="1">I344</f>
        <v>4000</v>
      </c>
      <c r="J332" s="335">
        <f ca="1">J344+J347+J348+J349+J353</f>
        <v>2298</v>
      </c>
      <c r="K332" s="336">
        <f ca="1">IF(I332&gt;0,J332*100/I332,0)</f>
        <v>57.45</v>
      </c>
      <c r="L332" s="330"/>
      <c r="M332" s="330"/>
      <c r="N332" s="330"/>
      <c r="O332" s="330"/>
      <c r="P332" s="330"/>
    </row>
    <row r="333" spans="1:16" ht="19.5" x14ac:dyDescent="0.3">
      <c r="A333" s="136"/>
      <c r="B333" s="41"/>
      <c r="C333" s="197" t="s">
        <v>16</v>
      </c>
      <c r="D333" s="397" t="s">
        <v>17</v>
      </c>
      <c r="E333" s="41"/>
      <c r="F333" s="41"/>
      <c r="G333" s="43"/>
      <c r="H333" s="139" t="s">
        <v>12</v>
      </c>
      <c r="I333" s="45"/>
      <c r="J333" s="45"/>
      <c r="K333" s="46"/>
      <c r="L333" s="140">
        <f ca="1">L334+L335</f>
        <v>116000</v>
      </c>
      <c r="M333" s="140">
        <f ca="1">M334+M335</f>
        <v>90550</v>
      </c>
      <c r="N333" s="140">
        <f ca="1">N334+N335</f>
        <v>15580</v>
      </c>
      <c r="O333" s="140">
        <f ca="1">IF(L333&gt;0,N333*100/L333,0)</f>
        <v>13.431034482758621</v>
      </c>
      <c r="P333" s="140">
        <f ca="1">IF(M333&gt;0,N333*100/M333,0)</f>
        <v>17.205963556046385</v>
      </c>
    </row>
    <row r="334" spans="1:16" ht="18.75" hidden="1" x14ac:dyDescent="0.25">
      <c r="A334" s="136"/>
      <c r="B334" s="41"/>
      <c r="C334" s="41"/>
      <c r="D334" s="41"/>
      <c r="E334" s="279" t="s">
        <v>18</v>
      </c>
      <c r="F334" s="41"/>
      <c r="G334" s="43"/>
      <c r="H334" s="141" t="s">
        <v>12</v>
      </c>
      <c r="I334" s="45"/>
      <c r="J334" s="45"/>
      <c r="K334" s="46"/>
      <c r="L334" s="50">
        <f>L337+L340</f>
        <v>0</v>
      </c>
      <c r="M334" s="50">
        <f>M337+M340</f>
        <v>0</v>
      </c>
      <c r="N334" s="50">
        <f>N337+N340</f>
        <v>0</v>
      </c>
      <c r="O334" s="50">
        <f>IF(L334&gt;0,N334*100/L334,0)</f>
        <v>0</v>
      </c>
      <c r="P334" s="50">
        <f>IF(M334&gt;0,N334*100/M334,0)</f>
        <v>0</v>
      </c>
    </row>
    <row r="335" spans="1:16" ht="18.75" x14ac:dyDescent="0.25">
      <c r="A335" s="136"/>
      <c r="B335" s="41"/>
      <c r="C335" s="41"/>
      <c r="D335" s="41"/>
      <c r="E335" s="254" t="s">
        <v>19</v>
      </c>
      <c r="F335" s="41"/>
      <c r="G335" s="43"/>
      <c r="H335" s="142" t="s">
        <v>12</v>
      </c>
      <c r="I335" s="45"/>
      <c r="J335" s="45"/>
      <c r="K335" s="46"/>
      <c r="L335" s="47">
        <f ca="1">L338+L341</f>
        <v>116000</v>
      </c>
      <c r="M335" s="47">
        <f ca="1">M338+M341</f>
        <v>90550</v>
      </c>
      <c r="N335" s="47">
        <f ca="1">N338+N341</f>
        <v>15580</v>
      </c>
      <c r="O335" s="47">
        <f ca="1">IF(L335&gt;0,N335*100/L335,0)</f>
        <v>13.431034482758621</v>
      </c>
      <c r="P335" s="47">
        <f ca="1">IF(M335&gt;0,N335*100/M335,0)</f>
        <v>17.205963556046385</v>
      </c>
    </row>
    <row r="336" spans="1:16" ht="18.75" x14ac:dyDescent="0.25">
      <c r="A336" s="136"/>
      <c r="B336" s="41"/>
      <c r="C336" s="41"/>
      <c r="D336" s="42" t="s">
        <v>20</v>
      </c>
      <c r="E336" s="41"/>
      <c r="F336" s="41"/>
      <c r="G336" s="43"/>
      <c r="H336" s="143" t="s">
        <v>12</v>
      </c>
      <c r="I336" s="144"/>
      <c r="J336" s="144"/>
      <c r="K336" s="145"/>
      <c r="L336" s="47">
        <f ca="1">L337+L338</f>
        <v>116000</v>
      </c>
      <c r="M336" s="47">
        <f ca="1">M337+M338</f>
        <v>90550</v>
      </c>
      <c r="N336" s="47">
        <f ca="1">N337+N338</f>
        <v>15580</v>
      </c>
      <c r="O336" s="47">
        <f ca="1">IF(L336&gt;0,N336*100/L336,0)</f>
        <v>13.431034482758621</v>
      </c>
      <c r="P336" s="47">
        <f ca="1">IF(M336&gt;0,N336*100/M336,0)</f>
        <v>17.205963556046385</v>
      </c>
    </row>
    <row r="337" spans="1:16" ht="18.75" hidden="1" x14ac:dyDescent="0.25">
      <c r="A337" s="136"/>
      <c r="B337" s="41"/>
      <c r="C337" s="41"/>
      <c r="D337" s="41"/>
      <c r="E337" s="279" t="s">
        <v>34</v>
      </c>
      <c r="F337" s="41"/>
      <c r="G337" s="43"/>
      <c r="H337" s="146" t="s">
        <v>12</v>
      </c>
      <c r="I337" s="144"/>
      <c r="J337" s="144"/>
      <c r="K337" s="145"/>
      <c r="L337" s="50">
        <v>0</v>
      </c>
      <c r="M337" s="50">
        <v>0</v>
      </c>
      <c r="N337" s="50">
        <v>0</v>
      </c>
      <c r="O337" s="50">
        <f>IF(L337&gt;0,N337*100/L337,0)</f>
        <v>0</v>
      </c>
      <c r="P337" s="50">
        <f>IF(M337&gt;0,N337*100/M337,0)</f>
        <v>0</v>
      </c>
    </row>
    <row r="338" spans="1:16" ht="18.75" x14ac:dyDescent="0.25">
      <c r="A338" s="136"/>
      <c r="B338" s="41"/>
      <c r="C338" s="41"/>
      <c r="D338" s="41"/>
      <c r="E338" s="254" t="s">
        <v>35</v>
      </c>
      <c r="F338" s="41"/>
      <c r="G338" s="43"/>
      <c r="H338" s="143" t="s">
        <v>12</v>
      </c>
      <c r="I338" s="144"/>
      <c r="J338" s="144"/>
      <c r="K338" s="145"/>
      <c r="L338" s="47">
        <f ca="1">IFERROR(__xludf.DUMMYFUNCTION("IMPORTRANGE(""https://docs.google.com/spreadsheets/d/1-uDff_7J0KD5mKrp0Vvzr7lt3OU09vwQwhkpOPPYv2Y/edit?usp=sharing"",""งบพรบ!ES15"")"),116000)</f>
        <v>116000</v>
      </c>
      <c r="M338" s="47">
        <f ca="1">IFERROR(__xludf.DUMMYFUNCTION("IMPORTRANGE(""https://docs.google.com/spreadsheets/d/1-uDff_7J0KD5mKrp0Vvzr7lt3OU09vwQwhkpOPPYv2Y/edit?usp=sharing"",""งบพรบ!EX15"")"),90550)</f>
        <v>90550</v>
      </c>
      <c r="N338" s="47">
        <f ca="1">IFERROR(__xludf.DUMMYFUNCTION("IMPORTRANGE(""https://docs.google.com/spreadsheets/d/1-uDff_7J0KD5mKrp0Vvzr7lt3OU09vwQwhkpOPPYv2Y/edit?usp=sharing"",""งบพรบ!EZ15"")"),15580)</f>
        <v>15580</v>
      </c>
      <c r="O338" s="47">
        <f ca="1">IF(L338&gt;0,N338*100/L338,0)</f>
        <v>13.431034482758621</v>
      </c>
      <c r="P338" s="47">
        <f ca="1">IF(M338&gt;0,N338*100/M338,0)</f>
        <v>17.205963556046385</v>
      </c>
    </row>
    <row r="339" spans="1:16" ht="18.75" x14ac:dyDescent="0.25">
      <c r="A339" s="136"/>
      <c r="B339" s="41"/>
      <c r="C339" s="41"/>
      <c r="D339" s="42" t="s">
        <v>21</v>
      </c>
      <c r="E339" s="41"/>
      <c r="F339" s="41"/>
      <c r="G339" s="43"/>
      <c r="H339" s="147" t="s">
        <v>12</v>
      </c>
      <c r="I339" s="144"/>
      <c r="J339" s="144"/>
      <c r="K339" s="145"/>
      <c r="L339" s="47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</row>
    <row r="340" spans="1:16" ht="18.75" hidden="1" x14ac:dyDescent="0.25">
      <c r="A340" s="136"/>
      <c r="B340" s="41"/>
      <c r="C340" s="41"/>
      <c r="D340" s="41"/>
      <c r="E340" s="279" t="s">
        <v>18</v>
      </c>
      <c r="F340" s="41"/>
      <c r="G340" s="43"/>
      <c r="H340" s="146" t="s">
        <v>12</v>
      </c>
      <c r="I340" s="144"/>
      <c r="J340" s="144"/>
      <c r="K340" s="145"/>
      <c r="L340" s="50">
        <v>0</v>
      </c>
      <c r="M340" s="50">
        <v>0</v>
      </c>
      <c r="N340" s="50">
        <v>0</v>
      </c>
      <c r="O340" s="50">
        <f>IF(L340&gt;0,N340*100/L340,0)</f>
        <v>0</v>
      </c>
      <c r="P340" s="50">
        <f>IF(M340&gt;0,N340*100/M340,0)</f>
        <v>0</v>
      </c>
    </row>
    <row r="341" spans="1:16" ht="18.75" x14ac:dyDescent="0.25">
      <c r="A341" s="136"/>
      <c r="B341" s="41"/>
      <c r="C341" s="41"/>
      <c r="D341" s="41"/>
      <c r="E341" s="254" t="s">
        <v>19</v>
      </c>
      <c r="F341" s="41"/>
      <c r="G341" s="43"/>
      <c r="H341" s="147" t="s">
        <v>12</v>
      </c>
      <c r="I341" s="144"/>
      <c r="J341" s="144"/>
      <c r="K341" s="145"/>
      <c r="L341" s="47">
        <f ca="1">IFERROR(__xludf.DUMMYFUNCTION("IMPORTRANGE(""https://docs.google.com/spreadsheets/d/1-uDff_7J0KD5mKrp0Vvzr7lt3OU09vwQwhkpOPPYv2Y/edit?usp=sharing"",""งบพรบ!EV15"")"),0)</f>
        <v>0</v>
      </c>
      <c r="M341" s="47">
        <f ca="1">IFERROR(__xludf.DUMMYFUNCTION("IMPORTRANGE(""https://docs.google.com/spreadsheets/d/1-uDff_7J0KD5mKrp0Vvzr7lt3OU09vwQwhkpOPPYv2Y/edit?usp=sharing"",""งบพรบ!EY15"")"),0)</f>
        <v>0</v>
      </c>
      <c r="N341" s="47">
        <f ca="1">IFERROR(__xludf.DUMMYFUNCTION("IMPORTRANGE(""https://docs.google.com/spreadsheets/d/1-uDff_7J0KD5mKrp0Vvzr7lt3OU09vwQwhkpOPPYv2Y/edit?usp=sharing"",""งบพรบ!FA15"")"),0)</f>
        <v>0</v>
      </c>
      <c r="O341" s="47">
        <f ca="1">IF(L341&gt;0,N341*100/L341,0)</f>
        <v>0</v>
      </c>
      <c r="P341" s="47">
        <f ca="1">IF(M341&gt;0,N341*100/M341,0)</f>
        <v>0</v>
      </c>
    </row>
    <row r="342" spans="1:16" ht="19.5" x14ac:dyDescent="0.3">
      <c r="A342" s="148"/>
      <c r="B342" s="149"/>
      <c r="C342" s="197" t="s">
        <v>16</v>
      </c>
      <c r="D342" s="221" t="s">
        <v>36</v>
      </c>
      <c r="E342" s="151"/>
      <c r="F342" s="151"/>
      <c r="G342" s="152"/>
      <c r="H342" s="43"/>
      <c r="I342" s="45"/>
      <c r="J342" s="45"/>
      <c r="K342" s="46"/>
      <c r="L342" s="46"/>
      <c r="M342" s="46"/>
      <c r="N342" s="46"/>
      <c r="O342" s="145"/>
      <c r="P342" s="145"/>
    </row>
    <row r="343" spans="1:16" ht="19.5" x14ac:dyDescent="0.3">
      <c r="A343" s="337"/>
      <c r="B343" s="338"/>
      <c r="C343" s="339"/>
      <c r="D343" s="338"/>
      <c r="E343" s="398" t="s">
        <v>131</v>
      </c>
      <c r="F343" s="338"/>
      <c r="G343" s="341"/>
      <c r="H343" s="342" t="s">
        <v>33</v>
      </c>
      <c r="I343" s="343">
        <v>0</v>
      </c>
      <c r="J343" s="343">
        <f ca="1">J344+J347+J348+J349</f>
        <v>1062</v>
      </c>
      <c r="K343" s="344">
        <v>0</v>
      </c>
      <c r="L343" s="345"/>
      <c r="M343" s="345"/>
      <c r="N343" s="345"/>
      <c r="O343" s="345"/>
      <c r="P343" s="345"/>
    </row>
    <row r="344" spans="1:16" ht="18.75" x14ac:dyDescent="0.25">
      <c r="A344" s="227"/>
      <c r="B344" s="41"/>
      <c r="C344" s="228"/>
      <c r="D344" s="155"/>
      <c r="E344" s="159" t="s">
        <v>132</v>
      </c>
      <c r="F344" s="41"/>
      <c r="G344" s="43"/>
      <c r="H344" s="230" t="s">
        <v>33</v>
      </c>
      <c r="I344" s="169">
        <f ca="1">IFERROR(__xludf.DUMMYFUNCTION("IMPORTRANGE(""https://docs.google.com/spreadsheets/d/1eHaY18a8A9IcSdp1K8H6x8fbOy06t2VsZHhMHf-1x7Y/edit?usp=sharing"",""แผน!EK15"")"),4000)</f>
        <v>4000</v>
      </c>
      <c r="J344" s="169">
        <f ca="1">IFERROR(__xludf.DUMMYFUNCTION("IMPORTRANGE(""https://docs.google.com/spreadsheets/d/1awYsYK3VOup2i3Pq_Yjnu8DRu_mYwSBnCR2QPthd0rU/edit?usp=sharing"",""ศูนย์ยกเว้นโฉนด!D15"")"),1052)</f>
        <v>1052</v>
      </c>
      <c r="K344" s="47">
        <f ca="1">IF(I344&gt;0,J344*100/I344,0)</f>
        <v>26.3</v>
      </c>
      <c r="L344" s="46"/>
      <c r="M344" s="46"/>
      <c r="N344" s="46"/>
      <c r="O344" s="46"/>
      <c r="P344" s="46"/>
    </row>
    <row r="345" spans="1:16" ht="18.75" x14ac:dyDescent="0.25">
      <c r="A345" s="227"/>
      <c r="B345" s="41"/>
      <c r="C345" s="228"/>
      <c r="D345" s="155"/>
      <c r="E345" s="159" t="s">
        <v>133</v>
      </c>
      <c r="F345" s="41"/>
      <c r="G345" s="43"/>
      <c r="H345" s="346"/>
      <c r="I345" s="45"/>
      <c r="J345" s="45"/>
      <c r="K345" s="46"/>
      <c r="L345" s="46"/>
      <c r="M345" s="46"/>
      <c r="N345" s="46"/>
      <c r="O345" s="46"/>
      <c r="P345" s="46"/>
    </row>
    <row r="346" spans="1:16" ht="18.75" x14ac:dyDescent="0.25">
      <c r="A346" s="227"/>
      <c r="B346" s="41"/>
      <c r="C346" s="228"/>
      <c r="D346" s="155"/>
      <c r="E346" s="155"/>
      <c r="F346" s="159" t="s">
        <v>134</v>
      </c>
      <c r="G346" s="43"/>
      <c r="H346" s="347" t="s">
        <v>135</v>
      </c>
      <c r="I346" s="169">
        <f ca="1">IFERROR(__xludf.DUMMYFUNCTION("IMPORTRANGE(""https://docs.google.com/spreadsheets/d/1eHaY18a8A9IcSdp1K8H6x8fbOy06t2VsZHhMHf-1x7Y/edit?usp=sharing"",""แผน!EL15"")"),5)</f>
        <v>5</v>
      </c>
      <c r="J346" s="169">
        <f ca="1">IFERROR(__xludf.DUMMYFUNCTION("IMPORTRANGE(""https://docs.google.com/spreadsheets/d/1awYsYK3VOup2i3Pq_Yjnu8DRu_mYwSBnCR2QPthd0rU/edit?usp=sharing"",""ศูนย์รวม!E15"")"),0)</f>
        <v>0</v>
      </c>
      <c r="K346" s="47">
        <f ca="1">IF(I346&gt;0,J346*100/I346,0)</f>
        <v>0</v>
      </c>
      <c r="L346" s="46"/>
      <c r="M346" s="46"/>
      <c r="N346" s="46"/>
      <c r="O346" s="46"/>
      <c r="P346" s="46"/>
    </row>
    <row r="347" spans="1:16" ht="18.75" x14ac:dyDescent="0.25">
      <c r="A347" s="227"/>
      <c r="B347" s="41"/>
      <c r="C347" s="228"/>
      <c r="D347" s="155"/>
      <c r="E347" s="155"/>
      <c r="F347" s="159" t="s">
        <v>136</v>
      </c>
      <c r="G347" s="43"/>
      <c r="H347" s="347" t="s">
        <v>33</v>
      </c>
      <c r="I347" s="45"/>
      <c r="J347" s="169">
        <f ca="1">IFERROR(__xludf.DUMMYFUNCTION("IMPORTRANGE(""https://docs.google.com/spreadsheets/d/1awYsYK3VOup2i3Pq_Yjnu8DRu_mYwSBnCR2QPthd0rU/edit?usp=sharing"",""ศูนย์ยกเว้นโฉนด!F15"")"),4)</f>
        <v>4</v>
      </c>
      <c r="K347" s="46"/>
      <c r="L347" s="46"/>
      <c r="M347" s="46"/>
      <c r="N347" s="46"/>
      <c r="O347" s="46"/>
      <c r="P347" s="46"/>
    </row>
    <row r="348" spans="1:16" ht="18.75" x14ac:dyDescent="0.25">
      <c r="A348" s="227"/>
      <c r="B348" s="41"/>
      <c r="C348" s="228"/>
      <c r="D348" s="155"/>
      <c r="E348" s="159" t="s">
        <v>137</v>
      </c>
      <c r="F348" s="155"/>
      <c r="G348" s="43"/>
      <c r="H348" s="347" t="s">
        <v>33</v>
      </c>
      <c r="I348" s="45"/>
      <c r="J348" s="169">
        <f ca="1">IFERROR(__xludf.DUMMYFUNCTION("IMPORTRANGE(""https://docs.google.com/spreadsheets/d/1awYsYK3VOup2i3Pq_Yjnu8DRu_mYwSBnCR2QPthd0rU/edit?usp=sharing"",""ศูนย์ยกเว้นโฉนด!G15"")"),6)</f>
        <v>6</v>
      </c>
      <c r="K348" s="46"/>
      <c r="L348" s="46"/>
      <c r="M348" s="46"/>
      <c r="N348" s="46"/>
      <c r="O348" s="46"/>
      <c r="P348" s="46"/>
    </row>
    <row r="349" spans="1:16" ht="18.75" x14ac:dyDescent="0.25">
      <c r="A349" s="227"/>
      <c r="B349" s="41"/>
      <c r="C349" s="228"/>
      <c r="D349" s="149"/>
      <c r="E349" s="159" t="s">
        <v>138</v>
      </c>
      <c r="F349" s="155"/>
      <c r="G349" s="43"/>
      <c r="H349" s="347" t="s">
        <v>33</v>
      </c>
      <c r="I349" s="45"/>
      <c r="J349" s="169">
        <f ca="1">IFERROR(__xludf.DUMMYFUNCTION("IMPORTRANGE(""https://docs.google.com/spreadsheets/d/1awYsYK3VOup2i3Pq_Yjnu8DRu_mYwSBnCR2QPthd0rU/edit?usp=sharing"",""ศูนย์ยกเว้นโฉนด!H15"")"),0)</f>
        <v>0</v>
      </c>
      <c r="K349" s="46"/>
      <c r="L349" s="46"/>
      <c r="M349" s="46"/>
      <c r="N349" s="46"/>
      <c r="O349" s="46"/>
      <c r="P349" s="46"/>
    </row>
    <row r="350" spans="1:16" ht="16.5" x14ac:dyDescent="0.25">
      <c r="A350" s="228"/>
      <c r="B350" s="41"/>
      <c r="C350" s="228"/>
      <c r="D350" s="34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1"/>
      <c r="F350" s="41"/>
      <c r="G350" s="43"/>
      <c r="H350" s="346"/>
      <c r="I350" s="45"/>
      <c r="J350" s="45"/>
      <c r="K350" s="46"/>
      <c r="L350" s="46"/>
      <c r="M350" s="46"/>
      <c r="N350" s="46"/>
      <c r="O350" s="46"/>
      <c r="P350" s="46"/>
    </row>
    <row r="351" spans="1:16" ht="19.5" x14ac:dyDescent="0.3">
      <c r="A351" s="233"/>
      <c r="B351" s="236"/>
      <c r="C351" s="234"/>
      <c r="D351" s="236"/>
      <c r="E351" s="396" t="s">
        <v>139</v>
      </c>
      <c r="F351" s="236"/>
      <c r="G351" s="237"/>
      <c r="H351" s="238" t="s">
        <v>33</v>
      </c>
      <c r="I351" s="239">
        <v>0</v>
      </c>
      <c r="J351" s="239">
        <f ca="1">J352+J353</f>
        <v>3577</v>
      </c>
      <c r="K351" s="240">
        <v>0</v>
      </c>
      <c r="L351" s="241"/>
      <c r="M351" s="241"/>
      <c r="N351" s="241"/>
      <c r="O351" s="241"/>
      <c r="P351" s="241"/>
    </row>
    <row r="352" spans="1:16" ht="18.75" x14ac:dyDescent="0.25">
      <c r="A352" s="228"/>
      <c r="B352" s="41"/>
      <c r="C352" s="228"/>
      <c r="D352" s="155"/>
      <c r="E352" s="159" t="s">
        <v>140</v>
      </c>
      <c r="F352" s="41"/>
      <c r="G352" s="43"/>
      <c r="H352" s="142" t="s">
        <v>33</v>
      </c>
      <c r="I352" s="45"/>
      <c r="J352" s="169">
        <f ca="1">IFERROR(__xludf.DUMMYFUNCTION("IMPORTRANGE(""https://docs.google.com/spreadsheets/d/1awYsYK3VOup2i3Pq_Yjnu8DRu_mYwSBnCR2QPthd0rU/edit?usp=sharing"",""โฉนดM3!G15"")"),2341)</f>
        <v>2341</v>
      </c>
      <c r="K352" s="46"/>
      <c r="L352" s="46"/>
      <c r="M352" s="46"/>
      <c r="N352" s="46"/>
      <c r="O352" s="46"/>
      <c r="P352" s="46"/>
    </row>
    <row r="353" spans="1:16" ht="18.75" x14ac:dyDescent="0.25">
      <c r="A353" s="228"/>
      <c r="B353" s="41"/>
      <c r="C353" s="228"/>
      <c r="D353" s="155"/>
      <c r="E353" s="159" t="s">
        <v>141</v>
      </c>
      <c r="F353" s="41"/>
      <c r="G353" s="43"/>
      <c r="H353" s="142" t="s">
        <v>33</v>
      </c>
      <c r="I353" s="45"/>
      <c r="J353" s="169">
        <f ca="1">IFERROR(__xludf.DUMMYFUNCTION("IMPORTRANGE(""https://docs.google.com/spreadsheets/d/1awYsYK3VOup2i3Pq_Yjnu8DRu_mYwSBnCR2QPthd0rU/edit?usp=sharing"",""โฉนดM3!H15"")"),1236)</f>
        <v>1236</v>
      </c>
      <c r="K353" s="46"/>
      <c r="L353" s="46"/>
      <c r="M353" s="46"/>
      <c r="N353" s="46"/>
      <c r="O353" s="46"/>
      <c r="P353" s="46"/>
    </row>
    <row r="354" spans="1:16" ht="16.5" x14ac:dyDescent="0.25">
      <c r="A354" s="228"/>
      <c r="B354" s="41"/>
      <c r="C354" s="228"/>
      <c r="D354" s="34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1"/>
      <c r="F354" s="41"/>
      <c r="G354" s="43"/>
      <c r="H354" s="346"/>
      <c r="I354" s="45"/>
      <c r="J354" s="45"/>
      <c r="K354" s="46"/>
      <c r="L354" s="46"/>
      <c r="M354" s="46"/>
      <c r="N354" s="46"/>
      <c r="O354" s="46"/>
      <c r="P354" s="46"/>
    </row>
    <row r="355" spans="1:16" ht="19.5" x14ac:dyDescent="0.3">
      <c r="A355" s="323"/>
      <c r="B355" s="324" t="s">
        <v>142</v>
      </c>
      <c r="C355" s="333"/>
      <c r="D355" s="325"/>
      <c r="E355" s="325"/>
      <c r="F355" s="325"/>
      <c r="G355" s="326"/>
      <c r="H355" s="326"/>
      <c r="I355" s="350"/>
      <c r="J355" s="350"/>
      <c r="K355" s="330"/>
      <c r="L355" s="330"/>
      <c r="M355" s="330"/>
      <c r="N355" s="330"/>
      <c r="O355" s="330"/>
      <c r="P355" s="330"/>
    </row>
    <row r="356" spans="1:16" ht="19.5" x14ac:dyDescent="0.3">
      <c r="A356" s="136"/>
      <c r="B356" s="41"/>
      <c r="C356" s="197" t="s">
        <v>16</v>
      </c>
      <c r="D356" s="397" t="s">
        <v>17</v>
      </c>
      <c r="E356" s="41"/>
      <c r="F356" s="41"/>
      <c r="G356" s="43"/>
      <c r="H356" s="139" t="s">
        <v>12</v>
      </c>
      <c r="I356" s="45"/>
      <c r="J356" s="45"/>
      <c r="K356" s="46"/>
      <c r="L356" s="140">
        <f ca="1">L357+L358</f>
        <v>656110</v>
      </c>
      <c r="M356" s="140">
        <f ca="1">M357+M358</f>
        <v>604110</v>
      </c>
      <c r="N356" s="140">
        <f ca="1">N357+N358</f>
        <v>32223.39</v>
      </c>
      <c r="O356" s="140">
        <f ca="1">IF(L356&gt;0,N356*100/L356,0)</f>
        <v>4.9112785965767936</v>
      </c>
      <c r="P356" s="140">
        <f ca="1">IF(M356&gt;0,N356*100/M356,0)</f>
        <v>5.3340269156279483</v>
      </c>
    </row>
    <row r="357" spans="1:16" ht="18.75" hidden="1" x14ac:dyDescent="0.25">
      <c r="A357" s="136"/>
      <c r="B357" s="41"/>
      <c r="C357" s="41"/>
      <c r="D357" s="41"/>
      <c r="E357" s="279" t="s">
        <v>18</v>
      </c>
      <c r="F357" s="41"/>
      <c r="G357" s="43"/>
      <c r="H357" s="141" t="s">
        <v>12</v>
      </c>
      <c r="I357" s="45"/>
      <c r="J357" s="45"/>
      <c r="K357" s="46"/>
      <c r="L357" s="50">
        <f>L360+L363</f>
        <v>0</v>
      </c>
      <c r="M357" s="50">
        <f>M360+M363</f>
        <v>0</v>
      </c>
      <c r="N357" s="50">
        <f>N360+N363</f>
        <v>0</v>
      </c>
      <c r="O357" s="50">
        <f>IF(L357&gt;0,N357*100/L357,0)</f>
        <v>0</v>
      </c>
      <c r="P357" s="50">
        <f>IF(M357&gt;0,N357*100/M357,0)</f>
        <v>0</v>
      </c>
    </row>
    <row r="358" spans="1:16" ht="18.75" x14ac:dyDescent="0.25">
      <c r="A358" s="136"/>
      <c r="B358" s="41"/>
      <c r="C358" s="41"/>
      <c r="D358" s="41"/>
      <c r="E358" s="254" t="s">
        <v>19</v>
      </c>
      <c r="F358" s="41"/>
      <c r="G358" s="43"/>
      <c r="H358" s="142" t="s">
        <v>12</v>
      </c>
      <c r="I358" s="45"/>
      <c r="J358" s="45"/>
      <c r="K358" s="46"/>
      <c r="L358" s="47">
        <f ca="1">L361+L364</f>
        <v>656110</v>
      </c>
      <c r="M358" s="47">
        <f ca="1">M361+M364</f>
        <v>604110</v>
      </c>
      <c r="N358" s="47">
        <f ca="1">N361+N364</f>
        <v>32223.39</v>
      </c>
      <c r="O358" s="47">
        <f ca="1">IF(L358&gt;0,N358*100/L358,0)</f>
        <v>4.9112785965767936</v>
      </c>
      <c r="P358" s="47">
        <f ca="1">IF(M358&gt;0,N358*100/M358,0)</f>
        <v>5.3340269156279483</v>
      </c>
    </row>
    <row r="359" spans="1:16" ht="18.75" x14ac:dyDescent="0.25">
      <c r="A359" s="136"/>
      <c r="B359" s="41"/>
      <c r="C359" s="41"/>
      <c r="D359" s="42" t="s">
        <v>20</v>
      </c>
      <c r="E359" s="41"/>
      <c r="F359" s="41"/>
      <c r="G359" s="43"/>
      <c r="H359" s="143" t="s">
        <v>12</v>
      </c>
      <c r="I359" s="144"/>
      <c r="J359" s="144"/>
      <c r="K359" s="145"/>
      <c r="L359" s="47">
        <f ca="1">L360+L361</f>
        <v>656110</v>
      </c>
      <c r="M359" s="47">
        <f ca="1">M360+M361</f>
        <v>604110</v>
      </c>
      <c r="N359" s="47">
        <f ca="1">N360+N361</f>
        <v>32223.39</v>
      </c>
      <c r="O359" s="47">
        <f ca="1">IF(L359&gt;0,N359*100/L359,0)</f>
        <v>4.9112785965767936</v>
      </c>
      <c r="P359" s="47">
        <f ca="1">IF(M359&gt;0,N359*100/M359,0)</f>
        <v>5.3340269156279483</v>
      </c>
    </row>
    <row r="360" spans="1:16" ht="18.75" hidden="1" x14ac:dyDescent="0.25">
      <c r="A360" s="136"/>
      <c r="B360" s="41"/>
      <c r="C360" s="41"/>
      <c r="D360" s="41"/>
      <c r="E360" s="279" t="s">
        <v>34</v>
      </c>
      <c r="F360" s="41"/>
      <c r="G360" s="43"/>
      <c r="H360" s="146" t="s">
        <v>12</v>
      </c>
      <c r="I360" s="144"/>
      <c r="J360" s="144"/>
      <c r="K360" s="145"/>
      <c r="L360" s="50">
        <v>0</v>
      </c>
      <c r="M360" s="50">
        <v>0</v>
      </c>
      <c r="N360" s="50">
        <v>0</v>
      </c>
      <c r="O360" s="50">
        <f>IF(L360&gt;0,N360*100/L360,0)</f>
        <v>0</v>
      </c>
      <c r="P360" s="50">
        <f>IF(M360&gt;0,N360*100/M360,0)</f>
        <v>0</v>
      </c>
    </row>
    <row r="361" spans="1:16" ht="18.75" x14ac:dyDescent="0.25">
      <c r="A361" s="136"/>
      <c r="B361" s="41"/>
      <c r="C361" s="41"/>
      <c r="D361" s="41"/>
      <c r="E361" s="254" t="s">
        <v>35</v>
      </c>
      <c r="F361" s="41"/>
      <c r="G361" s="43"/>
      <c r="H361" s="143" t="s">
        <v>12</v>
      </c>
      <c r="I361" s="144"/>
      <c r="J361" s="144"/>
      <c r="K361" s="145"/>
      <c r="L361" s="47">
        <f ca="1">IFERROR(__xludf.DUMMYFUNCTION("IMPORTRANGE(""https://docs.google.com/spreadsheets/d/1-uDff_7J0KD5mKrp0Vvzr7lt3OU09vwQwhkpOPPYv2Y/edit?usp=sharing"",""งบพรบ!FC15"")"),656110)</f>
        <v>656110</v>
      </c>
      <c r="M361" s="47">
        <f ca="1">IFERROR(__xludf.DUMMYFUNCTION("IMPORTRANGE(""https://docs.google.com/spreadsheets/d/1-uDff_7J0KD5mKrp0Vvzr7lt3OU09vwQwhkpOPPYv2Y/edit?usp=sharing"",""งบพรบ!FH15"")"),604110)</f>
        <v>604110</v>
      </c>
      <c r="N361" s="47">
        <f ca="1">IFERROR(__xludf.DUMMYFUNCTION("IMPORTRANGE(""https://docs.google.com/spreadsheets/d/1-uDff_7J0KD5mKrp0Vvzr7lt3OU09vwQwhkpOPPYv2Y/edit?usp=sharing"",""งบพรบ!FJ15"")"),32223.39)</f>
        <v>32223.39</v>
      </c>
      <c r="O361" s="47">
        <f ca="1">IF(L361&gt;0,N361*100/L361,0)</f>
        <v>4.9112785965767936</v>
      </c>
      <c r="P361" s="47">
        <f ca="1">IF(M361&gt;0,N361*100/M361,0)</f>
        <v>5.3340269156279483</v>
      </c>
    </row>
    <row r="362" spans="1:16" ht="18.75" x14ac:dyDescent="0.25">
      <c r="A362" s="136"/>
      <c r="B362" s="41"/>
      <c r="C362" s="41"/>
      <c r="D362" s="42" t="s">
        <v>21</v>
      </c>
      <c r="E362" s="41"/>
      <c r="F362" s="41"/>
      <c r="G362" s="43"/>
      <c r="H362" s="147" t="s">
        <v>12</v>
      </c>
      <c r="I362" s="144"/>
      <c r="J362" s="144"/>
      <c r="K362" s="145"/>
      <c r="L362" s="47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</row>
    <row r="363" spans="1:16" ht="18.75" hidden="1" x14ac:dyDescent="0.25">
      <c r="A363" s="136"/>
      <c r="B363" s="41"/>
      <c r="C363" s="41"/>
      <c r="D363" s="41"/>
      <c r="E363" s="279" t="s">
        <v>18</v>
      </c>
      <c r="F363" s="41"/>
      <c r="G363" s="43"/>
      <c r="H363" s="146" t="s">
        <v>12</v>
      </c>
      <c r="I363" s="144"/>
      <c r="J363" s="144"/>
      <c r="K363" s="145"/>
      <c r="L363" s="50">
        <v>0</v>
      </c>
      <c r="M363" s="50">
        <v>0</v>
      </c>
      <c r="N363" s="50">
        <v>0</v>
      </c>
      <c r="O363" s="50">
        <f>IF(L363&gt;0,N363*100/L363,0)</f>
        <v>0</v>
      </c>
      <c r="P363" s="50">
        <f>IF(M363&gt;0,N363*100/M363,0)</f>
        <v>0</v>
      </c>
    </row>
    <row r="364" spans="1:16" ht="18.75" x14ac:dyDescent="0.25">
      <c r="A364" s="136"/>
      <c r="B364" s="41"/>
      <c r="C364" s="41"/>
      <c r="D364" s="41"/>
      <c r="E364" s="254" t="s">
        <v>19</v>
      </c>
      <c r="F364" s="41"/>
      <c r="G364" s="43"/>
      <c r="H364" s="147" t="s">
        <v>12</v>
      </c>
      <c r="I364" s="144"/>
      <c r="J364" s="144"/>
      <c r="K364" s="145"/>
      <c r="L364" s="47">
        <f ca="1">IFERROR(__xludf.DUMMYFUNCTION("IMPORTRANGE(""https://docs.google.com/spreadsheets/d/1-uDff_7J0KD5mKrp0Vvzr7lt3OU09vwQwhkpOPPYv2Y/edit?usp=sharing"",""งบพรบ!FF15"")"),0)</f>
        <v>0</v>
      </c>
      <c r="M364" s="47">
        <f ca="1">IFERROR(__xludf.DUMMYFUNCTION("IMPORTRANGE(""https://docs.google.com/spreadsheets/d/1-uDff_7J0KD5mKrp0Vvzr7lt3OU09vwQwhkpOPPYv2Y/edit?usp=sharing"",""งบพรบ!FI15"")"),0)</f>
        <v>0</v>
      </c>
      <c r="N364" s="47">
        <f ca="1">IFERROR(__xludf.DUMMYFUNCTION("IMPORTRANGE(""https://docs.google.com/spreadsheets/d/1-uDff_7J0KD5mKrp0Vvzr7lt3OU09vwQwhkpOPPYv2Y/edit?usp=sharing"",""งบพรบ!FK15"")"),0)</f>
        <v>0</v>
      </c>
      <c r="O364" s="47">
        <f ca="1">IF(L364&gt;0,N364*100/L364,0)</f>
        <v>0</v>
      </c>
      <c r="P364" s="47">
        <f ca="1">IF(M364&gt;0,N364*100/M364,0)</f>
        <v>0</v>
      </c>
    </row>
    <row r="365" spans="1:16" ht="19.5" x14ac:dyDescent="0.3">
      <c r="A365" s="233"/>
      <c r="B365" s="234"/>
      <c r="C365" s="236"/>
      <c r="D365" s="396" t="s">
        <v>143</v>
      </c>
      <c r="E365" s="236"/>
      <c r="F365" s="236"/>
      <c r="G365" s="237"/>
      <c r="H365" s="245" t="s">
        <v>33</v>
      </c>
      <c r="I365" s="239">
        <f ca="1">I371</f>
        <v>535</v>
      </c>
      <c r="J365" s="239">
        <f ca="1">J371</f>
        <v>120</v>
      </c>
      <c r="K365" s="240">
        <f ca="1">IF(I365&gt;0,J365*100/I365,0)</f>
        <v>22.429906542056074</v>
      </c>
      <c r="L365" s="241"/>
      <c r="M365" s="241"/>
      <c r="N365" s="241"/>
      <c r="O365" s="241"/>
      <c r="P365" s="241"/>
    </row>
    <row r="366" spans="1:16" ht="19.5" x14ac:dyDescent="0.3">
      <c r="A366" s="148"/>
      <c r="B366" s="149"/>
      <c r="C366" s="197" t="s">
        <v>16</v>
      </c>
      <c r="D366" s="395" t="s">
        <v>36</v>
      </c>
      <c r="E366" s="151"/>
      <c r="F366" s="151"/>
      <c r="G366" s="152"/>
      <c r="H366" s="153"/>
      <c r="I366" s="45"/>
      <c r="J366" s="45"/>
      <c r="K366" s="46"/>
      <c r="L366" s="145"/>
      <c r="M366" s="145"/>
      <c r="N366" s="145"/>
      <c r="O366" s="145"/>
      <c r="P366" s="145"/>
    </row>
    <row r="367" spans="1:16" ht="18.75" x14ac:dyDescent="0.25">
      <c r="A367" s="148"/>
      <c r="B367" s="155"/>
      <c r="C367" s="149"/>
      <c r="D367" s="155"/>
      <c r="E367" s="154" t="s">
        <v>144</v>
      </c>
      <c r="F367" s="155"/>
      <c r="G367" s="153"/>
      <c r="H367" s="164" t="s">
        <v>33</v>
      </c>
      <c r="I367" s="169">
        <v>0</v>
      </c>
      <c r="J367" s="169">
        <f ca="1">IFERROR(__xludf.DUMMYFUNCTION("IMPORTRANGE(""https://docs.google.com/spreadsheets/d/1tdoBKaGub7dwA3U6UFTqxio9LNnvDCQjHKmttSEBsFQ/edit?usp=sharing"",""จัดที่ดิน!AB15"")"),3)</f>
        <v>3</v>
      </c>
      <c r="K367" s="47">
        <f>IF(I367&gt;0,J367*100/I367,0)</f>
        <v>0</v>
      </c>
      <c r="L367" s="145"/>
      <c r="M367" s="145"/>
      <c r="N367" s="145"/>
      <c r="O367" s="145"/>
      <c r="P367" s="145"/>
    </row>
    <row r="368" spans="1:16" ht="18.75" x14ac:dyDescent="0.25">
      <c r="A368" s="148"/>
      <c r="B368" s="155"/>
      <c r="C368" s="149"/>
      <c r="D368" s="155"/>
      <c r="E368" s="155"/>
      <c r="F368" s="155"/>
      <c r="G368" s="153"/>
      <c r="H368" s="164" t="s">
        <v>44</v>
      </c>
      <c r="I368" s="169">
        <f ca="1">IFERROR(__xludf.DUMMYFUNCTION("IMPORTRANGE(""https://docs.google.com/spreadsheets/d/1eHaY18a8A9IcSdp1K8H6x8fbOy06t2VsZHhMHf-1x7Y/edit?usp=sharing"",""แผน!EW15"")"),4250)</f>
        <v>4250</v>
      </c>
      <c r="J368" s="351">
        <f ca="1">IFERROR(__xludf.DUMMYFUNCTION("IMPORTRANGE(""https://docs.google.com/spreadsheets/d/1tdoBKaGub7dwA3U6UFTqxio9LNnvDCQjHKmttSEBsFQ/edit?usp=sharing"",""จัดที่ดิน!AC15"")"),1.51)</f>
        <v>1.51</v>
      </c>
      <c r="K368" s="47">
        <f ca="1">IF(I368&gt;0,J368*100/I368,0)</f>
        <v>3.5529411764705886E-2</v>
      </c>
      <c r="L368" s="145"/>
      <c r="M368" s="145"/>
      <c r="N368" s="145"/>
      <c r="O368" s="145"/>
      <c r="P368" s="145"/>
    </row>
    <row r="369" spans="1:16" ht="18.75" x14ac:dyDescent="0.25">
      <c r="A369" s="148"/>
      <c r="B369" s="155"/>
      <c r="C369" s="149"/>
      <c r="D369" s="155"/>
      <c r="E369" s="154" t="s">
        <v>145</v>
      </c>
      <c r="F369" s="155"/>
      <c r="G369" s="153"/>
      <c r="H369" s="251" t="s">
        <v>33</v>
      </c>
      <c r="I369" s="169">
        <f ca="1">IFERROR(__xludf.DUMMYFUNCTION("IMPORTRANGE(""https://docs.google.com/spreadsheets/d/1eHaY18a8A9IcSdp1K8H6x8fbOy06t2VsZHhMHf-1x7Y/edit?usp=sharing"",""แผน!EX15"")"),805)</f>
        <v>805</v>
      </c>
      <c r="J369" s="169">
        <f ca="1">IFERROR(__xludf.DUMMYFUNCTION("IMPORTRANGE(""https://docs.google.com/spreadsheets/d/1tdoBKaGub7dwA3U6UFTqxio9LNnvDCQjHKmttSEBsFQ/edit?usp=sharing"",""จัดที่ดิน!AD15"")"),176)</f>
        <v>176</v>
      </c>
      <c r="K369" s="47">
        <f ca="1">IF(I369&gt;0,J369*100/I369,0)</f>
        <v>21.863354037267079</v>
      </c>
      <c r="L369" s="145"/>
      <c r="M369" s="145"/>
      <c r="N369" s="145"/>
      <c r="O369" s="145"/>
      <c r="P369" s="145"/>
    </row>
    <row r="370" spans="1:16" ht="18.75" x14ac:dyDescent="0.25">
      <c r="A370" s="148"/>
      <c r="B370" s="155"/>
      <c r="C370" s="149"/>
      <c r="D370" s="155"/>
      <c r="E370" s="155"/>
      <c r="F370" s="155"/>
      <c r="G370" s="153"/>
      <c r="H370" s="251" t="s">
        <v>44</v>
      </c>
      <c r="I370" s="169">
        <v>0</v>
      </c>
      <c r="J370" s="351">
        <f ca="1">IFERROR(__xludf.DUMMYFUNCTION("IMPORTRANGE(""https://docs.google.com/spreadsheets/d/1tdoBKaGub7dwA3U6UFTqxio9LNnvDCQjHKmttSEBsFQ/edit?usp=sharing"",""จัดที่ดิน!AE15"")"),1463.99)</f>
        <v>1463.99</v>
      </c>
      <c r="K370" s="47">
        <f>IF(I370&gt;0,J370*100/I370,0)</f>
        <v>0</v>
      </c>
      <c r="L370" s="145"/>
      <c r="M370" s="145"/>
      <c r="N370" s="145"/>
      <c r="O370" s="145"/>
      <c r="P370" s="145"/>
    </row>
    <row r="371" spans="1:16" ht="18.75" x14ac:dyDescent="0.25">
      <c r="A371" s="148"/>
      <c r="B371" s="155"/>
      <c r="C371" s="149"/>
      <c r="D371" s="155"/>
      <c r="E371" s="154" t="s">
        <v>146</v>
      </c>
      <c r="F371" s="155"/>
      <c r="G371" s="153"/>
      <c r="H371" s="251" t="s">
        <v>33</v>
      </c>
      <c r="I371" s="169">
        <f ca="1">IFERROR(__xludf.DUMMYFUNCTION("IMPORTRANGE(""https://docs.google.com/spreadsheets/d/1eHaY18a8A9IcSdp1K8H6x8fbOy06t2VsZHhMHf-1x7Y/edit?usp=sharing"",""แผน!EY15"")"),535)</f>
        <v>535</v>
      </c>
      <c r="J371" s="169">
        <f ca="1">IFERROR(__xludf.DUMMYFUNCTION("IMPORTRANGE(""https://docs.google.com/spreadsheets/d/1tdoBKaGub7dwA3U6UFTqxio9LNnvDCQjHKmttSEBsFQ/edit?usp=sharing"",""จัดที่ดิน!AF15"")"),120)</f>
        <v>120</v>
      </c>
      <c r="K371" s="47">
        <f ca="1">IF(I371&gt;0,J371*100/I371,0)</f>
        <v>22.429906542056074</v>
      </c>
      <c r="L371" s="145"/>
      <c r="M371" s="145"/>
      <c r="N371" s="145"/>
      <c r="O371" s="145"/>
      <c r="P371" s="145"/>
    </row>
    <row r="372" spans="1:16" ht="18.75" x14ac:dyDescent="0.25">
      <c r="A372" s="148"/>
      <c r="B372" s="155"/>
      <c r="C372" s="149"/>
      <c r="D372" s="155"/>
      <c r="E372" s="155"/>
      <c r="F372" s="155"/>
      <c r="G372" s="153"/>
      <c r="H372" s="251" t="s">
        <v>44</v>
      </c>
      <c r="I372" s="169">
        <v>0</v>
      </c>
      <c r="J372" s="351">
        <f ca="1">IFERROR(__xludf.DUMMYFUNCTION("IMPORTRANGE(""https://docs.google.com/spreadsheets/d/1tdoBKaGub7dwA3U6UFTqxio9LNnvDCQjHKmttSEBsFQ/edit?usp=sharing"",""จัดที่ดิน!AG15"")"),992.18)</f>
        <v>992.18</v>
      </c>
      <c r="K372" s="47">
        <f>IF(I372&gt;0,J372*100/I372,0)</f>
        <v>0</v>
      </c>
      <c r="L372" s="145"/>
      <c r="M372" s="145"/>
      <c r="N372" s="145"/>
      <c r="O372" s="145"/>
      <c r="P372" s="145"/>
    </row>
    <row r="373" spans="1:16" ht="16.5" x14ac:dyDescent="0.25">
      <c r="A373" s="2"/>
      <c r="B373" s="1"/>
      <c r="C373" s="2"/>
      <c r="D373" s="352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4"/>
      <c r="H373" s="54"/>
      <c r="I373" s="56"/>
      <c r="J373" s="56"/>
      <c r="K373" s="57"/>
      <c r="L373" s="57"/>
      <c r="M373" s="57"/>
      <c r="N373" s="57"/>
      <c r="O373" s="57"/>
      <c r="P373" s="57"/>
    </row>
    <row r="374" spans="1:16" ht="19.5" hidden="1" x14ac:dyDescent="0.3">
      <c r="A374" s="353" t="s">
        <v>147</v>
      </c>
      <c r="B374" s="354"/>
      <c r="C374" s="354"/>
      <c r="D374" s="354"/>
      <c r="E374" s="355"/>
      <c r="F374" s="355"/>
      <c r="G374" s="355"/>
      <c r="H374" s="355"/>
      <c r="I374" s="356"/>
      <c r="J374" s="356"/>
      <c r="K374" s="357"/>
      <c r="L374" s="357"/>
      <c r="M374" s="357"/>
      <c r="N374" s="357"/>
      <c r="O374" s="357"/>
      <c r="P374" s="358"/>
    </row>
    <row r="375" spans="1:16" ht="19.5" hidden="1" x14ac:dyDescent="0.3">
      <c r="A375" s="359" t="s">
        <v>148</v>
      </c>
      <c r="B375" s="360"/>
      <c r="C375" s="360"/>
      <c r="D375" s="361"/>
      <c r="E375" s="360"/>
      <c r="F375" s="360"/>
      <c r="G375" s="360"/>
      <c r="H375" s="362"/>
      <c r="I375" s="363"/>
      <c r="J375" s="363"/>
      <c r="K375" s="364"/>
      <c r="L375" s="364"/>
      <c r="M375" s="364"/>
      <c r="N375" s="364"/>
      <c r="O375" s="364"/>
      <c r="P375" s="364"/>
    </row>
    <row r="376" spans="1:16" ht="19.5" hidden="1" x14ac:dyDescent="0.3">
      <c r="A376" s="365"/>
      <c r="B376" s="366" t="s">
        <v>149</v>
      </c>
      <c r="C376" s="367"/>
      <c r="D376" s="368"/>
      <c r="E376" s="368"/>
      <c r="F376" s="368"/>
      <c r="G376" s="369"/>
      <c r="H376" s="370" t="s">
        <v>54</v>
      </c>
      <c r="I376" s="371">
        <f>I388</f>
        <v>0</v>
      </c>
      <c r="J376" s="371">
        <f>J388</f>
        <v>0</v>
      </c>
      <c r="K376" s="372">
        <f>IF(I376&gt;0,J376*100/I376,0)</f>
        <v>0</v>
      </c>
      <c r="L376" s="373"/>
      <c r="M376" s="373"/>
      <c r="N376" s="373"/>
      <c r="O376" s="373"/>
      <c r="P376" s="373"/>
    </row>
    <row r="377" spans="1:16" ht="19.5" hidden="1" x14ac:dyDescent="0.3">
      <c r="A377" s="136"/>
      <c r="B377" s="41"/>
      <c r="C377" s="260" t="s">
        <v>16</v>
      </c>
      <c r="D377" s="261" t="s">
        <v>17</v>
      </c>
      <c r="E377" s="41"/>
      <c r="F377" s="41"/>
      <c r="G377" s="43"/>
      <c r="H377" s="277" t="s">
        <v>12</v>
      </c>
      <c r="I377" s="45"/>
      <c r="J377" s="45"/>
      <c r="K377" s="46"/>
      <c r="L377" s="263">
        <f ca="1">L378+L379</f>
        <v>0</v>
      </c>
      <c r="M377" s="263">
        <f ca="1">M378+M379</f>
        <v>0</v>
      </c>
      <c r="N377" s="263">
        <f ca="1">N378+N379</f>
        <v>0</v>
      </c>
      <c r="O377" s="263">
        <f ca="1">IF(L377&gt;0,N377*100/L377,0)</f>
        <v>0</v>
      </c>
      <c r="P377" s="263">
        <f ca="1">IF(M377&gt;0,N377*100/M377,0)</f>
        <v>0</v>
      </c>
    </row>
    <row r="378" spans="1:16" ht="18.75" hidden="1" x14ac:dyDescent="0.25">
      <c r="A378" s="136"/>
      <c r="B378" s="41"/>
      <c r="C378" s="41"/>
      <c r="D378" s="41"/>
      <c r="E378" s="279" t="s">
        <v>18</v>
      </c>
      <c r="F378" s="41"/>
      <c r="G378" s="43"/>
      <c r="H378" s="141" t="s">
        <v>12</v>
      </c>
      <c r="I378" s="45"/>
      <c r="J378" s="45"/>
      <c r="K378" s="46"/>
      <c r="L378" s="50">
        <f>L381+L384</f>
        <v>0</v>
      </c>
      <c r="M378" s="50">
        <f>M381+M384</f>
        <v>0</v>
      </c>
      <c r="N378" s="50">
        <f>N381+N384</f>
        <v>0</v>
      </c>
      <c r="O378" s="50">
        <f>IF(L378&gt;0,N378*100/L378,0)</f>
        <v>0</v>
      </c>
      <c r="P378" s="50">
        <f>IF(M378&gt;0,N378*100/M378,0)</f>
        <v>0</v>
      </c>
    </row>
    <row r="379" spans="1:16" ht="18.75" hidden="1" x14ac:dyDescent="0.25">
      <c r="A379" s="136"/>
      <c r="B379" s="41"/>
      <c r="C379" s="41"/>
      <c r="D379" s="41"/>
      <c r="E379" s="279" t="s">
        <v>19</v>
      </c>
      <c r="F379" s="41"/>
      <c r="G379" s="43"/>
      <c r="H379" s="141" t="s">
        <v>12</v>
      </c>
      <c r="I379" s="45"/>
      <c r="J379" s="45"/>
      <c r="K379" s="46"/>
      <c r="L379" s="50">
        <f ca="1">L382+L385</f>
        <v>0</v>
      </c>
      <c r="M379" s="50">
        <f ca="1">M382+M385</f>
        <v>0</v>
      </c>
      <c r="N379" s="50">
        <f ca="1">N382+N385</f>
        <v>0</v>
      </c>
      <c r="O379" s="50">
        <f ca="1">IF(L379&gt;0,N379*100/L379,0)</f>
        <v>0</v>
      </c>
      <c r="P379" s="50">
        <f ca="1">IF(M379&gt;0,N379*100/M379,0)</f>
        <v>0</v>
      </c>
    </row>
    <row r="380" spans="1:16" ht="18.75" hidden="1" x14ac:dyDescent="0.25">
      <c r="A380" s="136"/>
      <c r="B380" s="41"/>
      <c r="C380" s="41"/>
      <c r="D380" s="278" t="s">
        <v>20</v>
      </c>
      <c r="E380" s="41"/>
      <c r="F380" s="41"/>
      <c r="G380" s="43"/>
      <c r="H380" s="146" t="s">
        <v>12</v>
      </c>
      <c r="I380" s="144"/>
      <c r="J380" s="144"/>
      <c r="K380" s="145"/>
      <c r="L380" s="50">
        <f ca="1">L381+L382</f>
        <v>0</v>
      </c>
      <c r="M380" s="50">
        <f ca="1">M381+M382</f>
        <v>0</v>
      </c>
      <c r="N380" s="50">
        <f ca="1">N381+N382</f>
        <v>0</v>
      </c>
      <c r="O380" s="50">
        <f ca="1">IF(L380&gt;0,N380*100/L380,0)</f>
        <v>0</v>
      </c>
      <c r="P380" s="50">
        <f ca="1">IF(M380&gt;0,N380*100/M380,0)</f>
        <v>0</v>
      </c>
    </row>
    <row r="381" spans="1:16" ht="18.75" hidden="1" x14ac:dyDescent="0.25">
      <c r="A381" s="136"/>
      <c r="B381" s="41"/>
      <c r="C381" s="41"/>
      <c r="D381" s="41"/>
      <c r="E381" s="279" t="s">
        <v>34</v>
      </c>
      <c r="F381" s="41"/>
      <c r="G381" s="43"/>
      <c r="H381" s="146" t="s">
        <v>12</v>
      </c>
      <c r="I381" s="144"/>
      <c r="J381" s="144"/>
      <c r="K381" s="145"/>
      <c r="L381" s="50">
        <v>0</v>
      </c>
      <c r="M381" s="50">
        <v>0</v>
      </c>
      <c r="N381" s="50">
        <v>0</v>
      </c>
      <c r="O381" s="50">
        <f>IF(L381&gt;0,N381*100/L381,0)</f>
        <v>0</v>
      </c>
      <c r="P381" s="50">
        <f>IF(M381&gt;0,N381*100/M381,0)</f>
        <v>0</v>
      </c>
    </row>
    <row r="382" spans="1:16" ht="18.75" hidden="1" x14ac:dyDescent="0.25">
      <c r="A382" s="136"/>
      <c r="B382" s="41"/>
      <c r="C382" s="41"/>
      <c r="D382" s="41"/>
      <c r="E382" s="279" t="s">
        <v>35</v>
      </c>
      <c r="F382" s="41"/>
      <c r="G382" s="43"/>
      <c r="H382" s="146" t="s">
        <v>12</v>
      </c>
      <c r="I382" s="144"/>
      <c r="J382" s="144"/>
      <c r="K382" s="145"/>
      <c r="L382" s="50">
        <f ca="1">IFERROR(__xludf.DUMMYFUNCTION("IMPORTRANGE(""https://docs.google.com/spreadsheets/d/1-uDff_7J0KD5mKrp0Vvzr7lt3OU09vwQwhkpOPPYv2Y/edit?usp=sharing"",""งบพรบ!FM15"")"),0)</f>
        <v>0</v>
      </c>
      <c r="M382" s="50">
        <f ca="1">IFERROR(__xludf.DUMMYFUNCTION("IMPORTRANGE(""https://docs.google.com/spreadsheets/d/1-uDff_7J0KD5mKrp0Vvzr7lt3OU09vwQwhkpOPPYv2Y/edit?usp=sharing"",""งบพรบ!FR15"")"),0)</f>
        <v>0</v>
      </c>
      <c r="N382" s="50">
        <f ca="1">IFERROR(__xludf.DUMMYFUNCTION("IMPORTRANGE(""https://docs.google.com/spreadsheets/d/1-uDff_7J0KD5mKrp0Vvzr7lt3OU09vwQwhkpOPPYv2Y/edit?usp=sharing"",""งบพรบ!FT15"")"),0)</f>
        <v>0</v>
      </c>
      <c r="O382" s="50">
        <f ca="1">IF(L382&gt;0,N382*100/L382,0)</f>
        <v>0</v>
      </c>
      <c r="P382" s="50">
        <f ca="1">IF(M382&gt;0,N382*100/M382,0)</f>
        <v>0</v>
      </c>
    </row>
    <row r="383" spans="1:16" ht="18.75" hidden="1" x14ac:dyDescent="0.25">
      <c r="A383" s="136"/>
      <c r="B383" s="41"/>
      <c r="C383" s="41"/>
      <c r="D383" s="278" t="s">
        <v>21</v>
      </c>
      <c r="E383" s="41"/>
      <c r="F383" s="41"/>
      <c r="G383" s="43"/>
      <c r="H383" s="199" t="s">
        <v>12</v>
      </c>
      <c r="I383" s="144"/>
      <c r="J383" s="144"/>
      <c r="K383" s="145"/>
      <c r="L383" s="50">
        <f ca="1">L384+L385</f>
        <v>0</v>
      </c>
      <c r="M383" s="50">
        <f ca="1">M384+M385</f>
        <v>0</v>
      </c>
      <c r="N383" s="50">
        <f ca="1">N384+N385</f>
        <v>0</v>
      </c>
      <c r="O383" s="50">
        <f ca="1">IF(L383&gt;0,N383*100/L383,0)</f>
        <v>0</v>
      </c>
      <c r="P383" s="50">
        <f ca="1">IF(M383&gt;0,N383*100/M383,0)</f>
        <v>0</v>
      </c>
    </row>
    <row r="384" spans="1:16" ht="18.75" hidden="1" x14ac:dyDescent="0.25">
      <c r="A384" s="136"/>
      <c r="B384" s="41"/>
      <c r="C384" s="41"/>
      <c r="D384" s="41"/>
      <c r="E384" s="279" t="s">
        <v>18</v>
      </c>
      <c r="F384" s="41"/>
      <c r="G384" s="43"/>
      <c r="H384" s="146" t="s">
        <v>12</v>
      </c>
      <c r="I384" s="144"/>
      <c r="J384" s="144"/>
      <c r="K384" s="145"/>
      <c r="L384" s="50">
        <v>0</v>
      </c>
      <c r="M384" s="50">
        <v>0</v>
      </c>
      <c r="N384" s="50">
        <v>0</v>
      </c>
      <c r="O384" s="50">
        <f>IF(L384&gt;0,N384*100/L384,0)</f>
        <v>0</v>
      </c>
      <c r="P384" s="50">
        <f>IF(M384&gt;0,N384*100/M384,0)</f>
        <v>0</v>
      </c>
    </row>
    <row r="385" spans="1:16" ht="18.75" hidden="1" x14ac:dyDescent="0.25">
      <c r="A385" s="136"/>
      <c r="B385" s="41"/>
      <c r="C385" s="41"/>
      <c r="D385" s="41"/>
      <c r="E385" s="279" t="s">
        <v>19</v>
      </c>
      <c r="F385" s="41"/>
      <c r="G385" s="43"/>
      <c r="H385" s="199" t="s">
        <v>12</v>
      </c>
      <c r="I385" s="144"/>
      <c r="J385" s="144"/>
      <c r="K385" s="145"/>
      <c r="L385" s="50">
        <f ca="1">IFERROR(__xludf.DUMMYFUNCTION("IMPORTRANGE(""https://docs.google.com/spreadsheets/d/1-uDff_7J0KD5mKrp0Vvzr7lt3OU09vwQwhkpOPPYv2Y/edit?usp=sharing"",""งบพรบ!FP15"")"),0)</f>
        <v>0</v>
      </c>
      <c r="M385" s="50">
        <f ca="1">IFERROR(__xludf.DUMMYFUNCTION("IMPORTRANGE(""https://docs.google.com/spreadsheets/d/1-uDff_7J0KD5mKrp0Vvzr7lt3OU09vwQwhkpOPPYv2Y/edit?usp=sharing"",""งบพรบ!FS15"")"),0)</f>
        <v>0</v>
      </c>
      <c r="N385" s="50">
        <f ca="1">IFERROR(__xludf.DUMMYFUNCTION("IMPORTRANGE(""https://docs.google.com/spreadsheets/d/1-uDff_7J0KD5mKrp0Vvzr7lt3OU09vwQwhkpOPPYv2Y/edit?usp=sharing"",""งบพรบ!FU15"")"),0)</f>
        <v>0</v>
      </c>
      <c r="O385" s="50">
        <f ca="1">IF(L385&gt;0,N385*100/L385,0)</f>
        <v>0</v>
      </c>
      <c r="P385" s="50">
        <f ca="1">IF(M385&gt;0,N385*100/M385,0)</f>
        <v>0</v>
      </c>
    </row>
    <row r="386" spans="1:16" ht="19.5" hidden="1" x14ac:dyDescent="0.3">
      <c r="A386" s="148"/>
      <c r="B386" s="149"/>
      <c r="C386" s="260" t="s">
        <v>16</v>
      </c>
      <c r="D386" s="394" t="s">
        <v>36</v>
      </c>
      <c r="E386" s="151"/>
      <c r="F386" s="151"/>
      <c r="G386" s="152"/>
      <c r="H386" s="153"/>
      <c r="I386" s="144"/>
      <c r="J386" s="45"/>
      <c r="K386" s="46"/>
      <c r="L386" s="46"/>
      <c r="M386" s="46"/>
      <c r="N386" s="46"/>
      <c r="O386" s="145"/>
      <c r="P386" s="145"/>
    </row>
    <row r="387" spans="1:16" ht="18.75" hidden="1" x14ac:dyDescent="0.25">
      <c r="A387" s="227"/>
      <c r="B387" s="41"/>
      <c r="C387" s="228"/>
      <c r="D387" s="267" t="s">
        <v>150</v>
      </c>
      <c r="E387" s="149"/>
      <c r="F387" s="41"/>
      <c r="G387" s="43"/>
      <c r="H387" s="232" t="s">
        <v>9</v>
      </c>
      <c r="I387" s="200">
        <v>0</v>
      </c>
      <c r="J387" s="201">
        <v>0</v>
      </c>
      <c r="K387" s="50">
        <f>IF(I387&gt;0,J387*100/I387,0)</f>
        <v>0</v>
      </c>
      <c r="L387" s="46"/>
      <c r="M387" s="46"/>
      <c r="N387" s="46"/>
      <c r="O387" s="46"/>
      <c r="P387" s="46"/>
    </row>
    <row r="388" spans="1:16" ht="18.75" hidden="1" x14ac:dyDescent="0.25">
      <c r="A388" s="374"/>
      <c r="B388" s="1"/>
      <c r="C388" s="2"/>
      <c r="D388" s="375" t="s">
        <v>151</v>
      </c>
      <c r="E388" s="281"/>
      <c r="F388" s="1"/>
      <c r="G388" s="54"/>
      <c r="H388" s="376" t="s">
        <v>54</v>
      </c>
      <c r="I388" s="205">
        <v>0</v>
      </c>
      <c r="J388" s="206">
        <v>0</v>
      </c>
      <c r="K388" s="207">
        <f>IF(I388&gt;0,J388*100/I388,0)</f>
        <v>0</v>
      </c>
      <c r="L388" s="57"/>
      <c r="M388" s="57"/>
      <c r="N388" s="57"/>
      <c r="O388" s="57"/>
      <c r="P388" s="57"/>
    </row>
    <row r="389" spans="1:16" ht="12.75" x14ac:dyDescent="0.2">
      <c r="A389" s="168"/>
      <c r="B389" s="168"/>
      <c r="C389" s="168"/>
      <c r="D389" s="168"/>
      <c r="E389" s="168"/>
      <c r="F389" s="168"/>
      <c r="G389" s="168"/>
      <c r="H389" s="168"/>
      <c r="I389" s="168"/>
      <c r="J389" s="168"/>
      <c r="K389" s="168"/>
      <c r="L389" s="168"/>
      <c r="M389" s="168"/>
      <c r="N389" s="168"/>
      <c r="O389" s="168"/>
      <c r="P389" s="168"/>
    </row>
    <row r="390" spans="1:16" ht="16.5" x14ac:dyDescent="0.25">
      <c r="A390" s="377" t="s">
        <v>152</v>
      </c>
      <c r="B390" s="168"/>
      <c r="C390" s="168"/>
      <c r="D390" s="168"/>
      <c r="E390" s="168"/>
      <c r="F390" s="168"/>
      <c r="G390" s="168"/>
      <c r="H390" s="168"/>
      <c r="I390" s="168"/>
      <c r="J390" s="168"/>
      <c r="K390" s="168"/>
      <c r="L390" s="168"/>
      <c r="M390" s="168"/>
      <c r="N390" s="168"/>
      <c r="O390" s="168"/>
      <c r="P390" s="168"/>
    </row>
    <row r="391" spans="1:16" ht="16.5" x14ac:dyDescent="0.25">
      <c r="A391" s="377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8"/>
      <c r="C391" s="168"/>
      <c r="D391" s="168"/>
      <c r="E391" s="168"/>
      <c r="F391" s="168"/>
      <c r="G391" s="168"/>
      <c r="H391" s="168"/>
      <c r="I391" s="168"/>
      <c r="J391" s="168"/>
      <c r="K391" s="168"/>
      <c r="L391" s="168"/>
      <c r="M391" s="168"/>
      <c r="N391" s="168"/>
      <c r="O391" s="168"/>
      <c r="P391" s="16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0" orientation="portrait" r:id="rId1"/>
  <headerFooter>
    <oddFooter>&amp;Cหน้า &amp;P/&amp;N</oddFooter>
  </headerFooter>
  <rowBreaks count="1" manualBreakCount="1">
    <brk id="196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59EEE-E2DE-4F48-B91C-EDE6AFB170A2}">
  <sheetPr>
    <outlinePr summaryBelow="0" summaryRight="0"/>
  </sheetPr>
  <dimension ref="A1:P391"/>
  <sheetViews>
    <sheetView view="pageBreakPreview" zoomScale="60" zoomScaleNormal="68" workbookViewId="0">
      <pane xSplit="8" ySplit="6" topLeftCell="I338" activePane="bottomRight" state="frozen"/>
      <selection activeCell="P44" sqref="P44"/>
      <selection pane="topRight" activeCell="P44" sqref="P44"/>
      <selection pane="bottomLeft" activeCell="P44" sqref="P44"/>
      <selection pane="bottomRight" activeCell="P44" sqref="P4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3" width="21.5703125" bestFit="1" customWidth="1"/>
    <col min="14" max="14" width="19" bestFit="1" customWidth="1"/>
    <col min="15" max="15" width="17.5703125" customWidth="1"/>
    <col min="16" max="16" width="22.42578125" bestFit="1" customWidth="1"/>
  </cols>
  <sheetData>
    <row r="1" spans="1:16" ht="19.5" x14ac:dyDescent="0.3">
      <c r="A1" s="386" t="s">
        <v>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</row>
    <row r="2" spans="1:16" ht="19.5" x14ac:dyDescent="0.3">
      <c r="A2" s="386" t="s">
        <v>156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</row>
    <row r="3" spans="1:16" ht="19.5" x14ac:dyDescent="0.3">
      <c r="A3" s="386" t="s">
        <v>175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388" t="s">
        <v>2</v>
      </c>
      <c r="B5" s="387"/>
      <c r="C5" s="387"/>
      <c r="D5" s="387"/>
      <c r="E5" s="387"/>
      <c r="F5" s="387"/>
      <c r="G5" s="389"/>
      <c r="H5" s="4" t="s">
        <v>3</v>
      </c>
      <c r="I5" s="391" t="s">
        <v>4</v>
      </c>
      <c r="J5" s="379"/>
      <c r="K5" s="380"/>
      <c r="L5" s="392" t="s">
        <v>5</v>
      </c>
      <c r="M5" s="380"/>
      <c r="N5" s="393" t="s">
        <v>6</v>
      </c>
      <c r="O5" s="379"/>
      <c r="P5" s="380"/>
    </row>
    <row r="6" spans="1:16" ht="19.5" x14ac:dyDescent="0.3">
      <c r="A6" s="390"/>
      <c r="B6" s="379"/>
      <c r="C6" s="379"/>
      <c r="D6" s="379"/>
      <c r="E6" s="379"/>
      <c r="F6" s="379"/>
      <c r="G6" s="380"/>
      <c r="H6" s="5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466" t="s">
        <v>14</v>
      </c>
    </row>
    <row r="7" spans="1:16" ht="12.75" hidden="1" x14ac:dyDescent="0.2">
      <c r="A7" s="381"/>
      <c r="B7" s="379"/>
      <c r="C7" s="379"/>
      <c r="D7" s="379"/>
      <c r="E7" s="379"/>
      <c r="F7" s="379"/>
      <c r="G7" s="380"/>
      <c r="H7" s="12"/>
      <c r="I7" s="13"/>
      <c r="J7" s="13"/>
      <c r="K7" s="14"/>
      <c r="L7" s="14"/>
      <c r="M7" s="14"/>
      <c r="N7" s="14"/>
      <c r="O7" s="14"/>
      <c r="P7" s="14"/>
    </row>
    <row r="8" spans="1:16" ht="12.75" hidden="1" x14ac:dyDescent="0.2">
      <c r="A8" s="15"/>
      <c r="B8" s="16"/>
      <c r="C8" s="16"/>
      <c r="D8" s="16"/>
      <c r="E8" s="16"/>
      <c r="F8" s="16"/>
      <c r="G8" s="17"/>
      <c r="H8" s="17"/>
      <c r="I8" s="18"/>
      <c r="J8" s="18"/>
      <c r="K8" s="19"/>
      <c r="L8" s="19"/>
      <c r="M8" s="19"/>
      <c r="N8" s="19"/>
      <c r="O8" s="19"/>
      <c r="P8" s="19"/>
    </row>
    <row r="9" spans="1:16" ht="12.75" hidden="1" x14ac:dyDescent="0.2">
      <c r="A9" s="15"/>
      <c r="B9" s="16"/>
      <c r="C9" s="16"/>
      <c r="D9" s="16"/>
      <c r="E9" s="16"/>
      <c r="F9" s="16"/>
      <c r="G9" s="17"/>
      <c r="H9" s="17"/>
      <c r="I9" s="18"/>
      <c r="J9" s="18"/>
      <c r="K9" s="19"/>
      <c r="L9" s="19"/>
      <c r="M9" s="19"/>
      <c r="N9" s="19"/>
      <c r="O9" s="19"/>
      <c r="P9" s="19"/>
    </row>
    <row r="10" spans="1:16" ht="12.75" hidden="1" x14ac:dyDescent="0.2">
      <c r="A10" s="15"/>
      <c r="B10" s="16"/>
      <c r="C10" s="16"/>
      <c r="D10" s="16"/>
      <c r="E10" s="16"/>
      <c r="F10" s="16"/>
      <c r="G10" s="17"/>
      <c r="H10" s="17"/>
      <c r="I10" s="18"/>
      <c r="J10" s="18"/>
      <c r="K10" s="19"/>
      <c r="L10" s="19"/>
      <c r="M10" s="19"/>
      <c r="N10" s="19"/>
      <c r="O10" s="19"/>
      <c r="P10" s="19"/>
    </row>
    <row r="11" spans="1:16" ht="12.75" hidden="1" x14ac:dyDescent="0.2">
      <c r="A11" s="15"/>
      <c r="B11" s="16"/>
      <c r="C11" s="16"/>
      <c r="D11" s="16"/>
      <c r="E11" s="16"/>
      <c r="F11" s="16"/>
      <c r="G11" s="17"/>
      <c r="H11" s="17"/>
      <c r="I11" s="18"/>
      <c r="J11" s="18"/>
      <c r="K11" s="19"/>
      <c r="L11" s="19"/>
      <c r="M11" s="19"/>
      <c r="N11" s="19"/>
      <c r="O11" s="19"/>
      <c r="P11" s="19"/>
    </row>
    <row r="12" spans="1:16" ht="12.75" hidden="1" x14ac:dyDescent="0.2">
      <c r="A12" s="15"/>
      <c r="B12" s="16"/>
      <c r="C12" s="16"/>
      <c r="D12" s="16"/>
      <c r="E12" s="16"/>
      <c r="F12" s="16"/>
      <c r="G12" s="17"/>
      <c r="H12" s="17"/>
      <c r="I12" s="18"/>
      <c r="J12" s="18"/>
      <c r="K12" s="19"/>
      <c r="L12" s="19"/>
      <c r="M12" s="19"/>
      <c r="N12" s="19"/>
      <c r="O12" s="19"/>
      <c r="P12" s="19"/>
    </row>
    <row r="13" spans="1:16" ht="12.75" hidden="1" x14ac:dyDescent="0.2">
      <c r="A13" s="15"/>
      <c r="B13" s="16"/>
      <c r="C13" s="16"/>
      <c r="D13" s="16"/>
      <c r="E13" s="16"/>
      <c r="F13" s="16"/>
      <c r="G13" s="17"/>
      <c r="H13" s="17"/>
      <c r="I13" s="18"/>
      <c r="J13" s="18"/>
      <c r="K13" s="19"/>
      <c r="L13" s="19"/>
      <c r="M13" s="19"/>
      <c r="N13" s="19"/>
      <c r="O13" s="19"/>
      <c r="P13" s="19"/>
    </row>
    <row r="14" spans="1:16" ht="12.75" hidden="1" x14ac:dyDescent="0.2">
      <c r="A14" s="15"/>
      <c r="B14" s="16"/>
      <c r="C14" s="16"/>
      <c r="D14" s="16"/>
      <c r="E14" s="16"/>
      <c r="F14" s="16"/>
      <c r="G14" s="17"/>
      <c r="H14" s="17"/>
      <c r="I14" s="18"/>
      <c r="J14" s="18"/>
      <c r="K14" s="19"/>
      <c r="L14" s="19"/>
      <c r="M14" s="19"/>
      <c r="N14" s="19"/>
      <c r="O14" s="19"/>
      <c r="P14" s="19"/>
    </row>
    <row r="15" spans="1:16" ht="12.75" hidden="1" x14ac:dyDescent="0.2">
      <c r="A15" s="15"/>
      <c r="B15" s="16"/>
      <c r="C15" s="16"/>
      <c r="D15" s="16"/>
      <c r="E15" s="16"/>
      <c r="F15" s="16"/>
      <c r="G15" s="17"/>
      <c r="H15" s="17"/>
      <c r="I15" s="18"/>
      <c r="J15" s="18"/>
      <c r="K15" s="19"/>
      <c r="L15" s="19"/>
      <c r="M15" s="19"/>
      <c r="N15" s="19"/>
      <c r="O15" s="19"/>
      <c r="P15" s="19"/>
    </row>
    <row r="16" spans="1:16" ht="12.75" hidden="1" x14ac:dyDescent="0.2">
      <c r="A16" s="20"/>
      <c r="B16" s="21"/>
      <c r="C16" s="21"/>
      <c r="D16" s="21"/>
      <c r="E16" s="21"/>
      <c r="F16" s="21"/>
      <c r="G16" s="12"/>
      <c r="H16" s="12"/>
      <c r="I16" s="13"/>
      <c r="J16" s="13"/>
      <c r="K16" s="14"/>
      <c r="L16" s="14"/>
      <c r="M16" s="14"/>
      <c r="N16" s="14"/>
      <c r="O16" s="14"/>
      <c r="P16" s="14"/>
    </row>
    <row r="17" spans="1:16" ht="19.5" x14ac:dyDescent="0.3">
      <c r="A17" s="378" t="s">
        <v>15</v>
      </c>
      <c r="B17" s="379"/>
      <c r="C17" s="379"/>
      <c r="D17" s="379"/>
      <c r="E17" s="379"/>
      <c r="F17" s="379"/>
      <c r="G17" s="380"/>
      <c r="H17" s="22"/>
      <c r="I17" s="23"/>
      <c r="J17" s="23"/>
      <c r="K17" s="24"/>
      <c r="L17" s="24"/>
      <c r="M17" s="24"/>
      <c r="N17" s="24"/>
      <c r="O17" s="24"/>
      <c r="P17" s="24"/>
    </row>
    <row r="18" spans="1:16" ht="19.5" x14ac:dyDescent="0.3">
      <c r="A18" s="25"/>
      <c r="B18" s="26"/>
      <c r="C18" s="132" t="s">
        <v>16</v>
      </c>
      <c r="D18" s="28" t="s">
        <v>17</v>
      </c>
      <c r="E18" s="26"/>
      <c r="F18" s="26"/>
      <c r="G18" s="29"/>
      <c r="H18" s="30" t="s">
        <v>12</v>
      </c>
      <c r="I18" s="31"/>
      <c r="J18" s="31"/>
      <c r="K18" s="32"/>
      <c r="L18" s="33">
        <f ca="1">L19+L20</f>
        <v>2479995</v>
      </c>
      <c r="M18" s="33">
        <f ca="1">M19+M20</f>
        <v>2224615</v>
      </c>
      <c r="N18" s="33">
        <f ca="1">N19+N20</f>
        <v>670559.75000000012</v>
      </c>
      <c r="O18" s="33">
        <f ca="1">IF(L18&gt;0,N18*100/L18,0)</f>
        <v>27.038754110391359</v>
      </c>
      <c r="P18" s="33">
        <f ca="1">IF(M18&gt;0,N18*100/M18,0)</f>
        <v>30.142732562713107</v>
      </c>
    </row>
    <row r="19" spans="1:16" ht="18.75" hidden="1" x14ac:dyDescent="0.25">
      <c r="A19" s="25"/>
      <c r="B19" s="26"/>
      <c r="C19" s="26"/>
      <c r="D19" s="26"/>
      <c r="E19" s="34" t="s">
        <v>18</v>
      </c>
      <c r="F19" s="26"/>
      <c r="G19" s="29"/>
      <c r="H19" s="35" t="s">
        <v>12</v>
      </c>
      <c r="I19" s="31"/>
      <c r="J19" s="31"/>
      <c r="K19" s="32"/>
      <c r="L19" s="36">
        <f>L22+L25</f>
        <v>0</v>
      </c>
      <c r="M19" s="36">
        <f>M22+M25</f>
        <v>0</v>
      </c>
      <c r="N19" s="36">
        <f>N22+N25</f>
        <v>0</v>
      </c>
      <c r="O19" s="36">
        <f>IF(L19&gt;0,N19*100/L19,0)</f>
        <v>0</v>
      </c>
      <c r="P19" s="36">
        <f>IF(M19&gt;0,N19*100/M19,0)</f>
        <v>0</v>
      </c>
    </row>
    <row r="20" spans="1:16" ht="18.75" x14ac:dyDescent="0.25">
      <c r="A20" s="25"/>
      <c r="B20" s="26"/>
      <c r="C20" s="26"/>
      <c r="D20" s="26"/>
      <c r="E20" s="37" t="s">
        <v>19</v>
      </c>
      <c r="F20" s="26"/>
      <c r="G20" s="29"/>
      <c r="H20" s="38" t="s">
        <v>12</v>
      </c>
      <c r="I20" s="31"/>
      <c r="J20" s="31"/>
      <c r="K20" s="32"/>
      <c r="L20" s="39">
        <f ca="1">L23+L26</f>
        <v>2479995</v>
      </c>
      <c r="M20" s="39">
        <f ca="1">M23+M26</f>
        <v>2224615</v>
      </c>
      <c r="N20" s="39">
        <f ca="1">N23+N26</f>
        <v>670559.75000000012</v>
      </c>
      <c r="O20" s="39">
        <f ca="1">IF(L20&gt;0,N20*100/L20,0)</f>
        <v>27.038754110391359</v>
      </c>
      <c r="P20" s="39">
        <f ca="1">IF(M20&gt;0,N20*100/M20,0)</f>
        <v>30.142732562713107</v>
      </c>
    </row>
    <row r="21" spans="1:16" ht="18.75" x14ac:dyDescent="0.25">
      <c r="A21" s="40"/>
      <c r="B21" s="41"/>
      <c r="C21" s="41"/>
      <c r="D21" s="42" t="s">
        <v>20</v>
      </c>
      <c r="E21" s="41"/>
      <c r="F21" s="41"/>
      <c r="G21" s="43"/>
      <c r="H21" s="44" t="s">
        <v>12</v>
      </c>
      <c r="I21" s="45"/>
      <c r="J21" s="45"/>
      <c r="K21" s="46"/>
      <c r="L21" s="47">
        <f ca="1">L22+L23</f>
        <v>2479995</v>
      </c>
      <c r="M21" s="47">
        <f ca="1">M22+M23</f>
        <v>2224615</v>
      </c>
      <c r="N21" s="47">
        <f ca="1">N22+N23</f>
        <v>670559.75000000012</v>
      </c>
      <c r="O21" s="47">
        <f ca="1">IF(L21&gt;0,N21*100/L21,0)</f>
        <v>27.038754110391359</v>
      </c>
      <c r="P21" s="47">
        <f ca="1">IF(M21&gt;0,N21*100/M21,0)</f>
        <v>30.142732562713107</v>
      </c>
    </row>
    <row r="22" spans="1:16" ht="18.75" hidden="1" x14ac:dyDescent="0.25">
      <c r="A22" s="40"/>
      <c r="B22" s="41"/>
      <c r="C22" s="41"/>
      <c r="D22" s="41"/>
      <c r="E22" s="279" t="s">
        <v>18</v>
      </c>
      <c r="F22" s="41"/>
      <c r="G22" s="43"/>
      <c r="H22" s="49" t="s">
        <v>12</v>
      </c>
      <c r="I22" s="45"/>
      <c r="J22" s="45"/>
      <c r="K22" s="46"/>
      <c r="L22" s="50">
        <f>L48+L63+L76+L98+L129+L143+L161+L190+L177+L270+L286+L307+L324+L337+L360+L381</f>
        <v>0</v>
      </c>
      <c r="M22" s="50">
        <f>M48+M63+M76+M98+M129+M143+M161+M190+M177+M270+M286+M307+M324+M337+M360+M381</f>
        <v>0</v>
      </c>
      <c r="N22" s="50">
        <f>N48+N63+N76+N98+N129+N143+N161+N190+N177+N270+N286+N307+N324+N337+N360+N381</f>
        <v>0</v>
      </c>
      <c r="O22" s="50">
        <f>IF(L22&gt;0,N22*100/L22,0)</f>
        <v>0</v>
      </c>
      <c r="P22" s="50">
        <f>IF(M22&gt;0,N22*100/M22,0)</f>
        <v>0</v>
      </c>
    </row>
    <row r="23" spans="1:16" ht="18.75" x14ac:dyDescent="0.25">
      <c r="A23" s="40"/>
      <c r="B23" s="41"/>
      <c r="C23" s="41"/>
      <c r="D23" s="41"/>
      <c r="E23" s="254" t="s">
        <v>19</v>
      </c>
      <c r="F23" s="41"/>
      <c r="G23" s="43"/>
      <c r="H23" s="44" t="s">
        <v>12</v>
      </c>
      <c r="I23" s="45"/>
      <c r="J23" s="45"/>
      <c r="K23" s="46"/>
      <c r="L23" s="47">
        <f ca="1">L49+L64+L77+L99+L130+L144+L162+L191+L178+L271+L287+L308+L325+L338+L361+L382</f>
        <v>2479995</v>
      </c>
      <c r="M23" s="47">
        <f ca="1">M49+M64+M77+M99+M130+M144+M162+M191+M178+M271+M287+M308+M325+M338+M361+M382</f>
        <v>2224615</v>
      </c>
      <c r="N23" s="47">
        <f ca="1">N49+N64+N77+N99+N130+N144+N162+N191+N178+N271+N287+N308+N325+N338+N361+N382</f>
        <v>670559.75000000012</v>
      </c>
      <c r="O23" s="47">
        <f ca="1">IF(L23&gt;0,N23*100/L23,0)</f>
        <v>27.038754110391359</v>
      </c>
      <c r="P23" s="47">
        <f ca="1">IF(M23&gt;0,N23*100/M23,0)</f>
        <v>30.142732562713107</v>
      </c>
    </row>
    <row r="24" spans="1:16" ht="18.75" x14ac:dyDescent="0.25">
      <c r="A24" s="40"/>
      <c r="B24" s="41"/>
      <c r="C24" s="41"/>
      <c r="D24" s="42" t="s">
        <v>21</v>
      </c>
      <c r="E24" s="41"/>
      <c r="F24" s="41"/>
      <c r="G24" s="43"/>
      <c r="H24" s="44" t="s">
        <v>12</v>
      </c>
      <c r="I24" s="45"/>
      <c r="J24" s="45"/>
      <c r="K24" s="46"/>
      <c r="L24" s="47">
        <f ca="1">L25+L26</f>
        <v>0</v>
      </c>
      <c r="M24" s="47">
        <f ca="1">M25+M26</f>
        <v>0</v>
      </c>
      <c r="N24" s="47">
        <f ca="1">N25+N26</f>
        <v>0</v>
      </c>
      <c r="O24" s="47">
        <f ca="1">IF(L24&gt;0,N24*100/L24,0)</f>
        <v>0</v>
      </c>
      <c r="P24" s="47">
        <f ca="1">IF(M24&gt;0,N24*100/M24,0)</f>
        <v>0</v>
      </c>
    </row>
    <row r="25" spans="1:16" ht="18.75" hidden="1" x14ac:dyDescent="0.25">
      <c r="A25" s="40"/>
      <c r="B25" s="41"/>
      <c r="C25" s="41"/>
      <c r="D25" s="41"/>
      <c r="E25" s="279" t="s">
        <v>18</v>
      </c>
      <c r="F25" s="41"/>
      <c r="G25" s="43"/>
      <c r="H25" s="49" t="s">
        <v>12</v>
      </c>
      <c r="I25" s="45"/>
      <c r="J25" s="45"/>
      <c r="K25" s="46"/>
      <c r="L25" s="50">
        <f>L51+L66+L79+L101+L132+L146+L164+L193+L180+L273+L289+L310+L327+L340+L363+L384</f>
        <v>0</v>
      </c>
      <c r="M25" s="50">
        <f>M51+M66+M79+M101+M132+M146+M164+M193+M180+M273+M289+M310+M327+M340+M363+M384</f>
        <v>0</v>
      </c>
      <c r="N25" s="50">
        <f>N51+N66+N79+N101+N132+N146+N164+N193+N180+N273+N289+N310+N327+N340+N363+N384</f>
        <v>0</v>
      </c>
      <c r="O25" s="50">
        <f>IF(L25&gt;0,N25*100/L25,0)</f>
        <v>0</v>
      </c>
      <c r="P25" s="50">
        <f>IF(M25&gt;0,N25*100/M25,0)</f>
        <v>0</v>
      </c>
    </row>
    <row r="26" spans="1:16" ht="18.75" x14ac:dyDescent="0.25">
      <c r="A26" s="40"/>
      <c r="B26" s="41"/>
      <c r="C26" s="41"/>
      <c r="D26" s="41"/>
      <c r="E26" s="254" t="s">
        <v>19</v>
      </c>
      <c r="F26" s="41"/>
      <c r="G26" s="43"/>
      <c r="H26" s="44" t="s">
        <v>12</v>
      </c>
      <c r="I26" s="45"/>
      <c r="J26" s="45"/>
      <c r="K26" s="46"/>
      <c r="L26" s="47">
        <f ca="1">L52+L67+L80+L102+L133+L147+L165+L194+L181+L274+L290+L311+L328+L341+L364+L385</f>
        <v>0</v>
      </c>
      <c r="M26" s="47">
        <f ca="1">M52+M67+M80+M102+M133+M147+M165+M194+M181+M274+M290+M311+M328+M341+M364+M385</f>
        <v>0</v>
      </c>
      <c r="N26" s="47">
        <f ca="1">N52+N67+N80+N102+N133+N147+N165+N194+N181+N274+N290+N311+N328+N341+N364+N385</f>
        <v>0</v>
      </c>
      <c r="O26" s="47">
        <f ca="1">IF(L26&gt;0,N26*100/L26,0)</f>
        <v>0</v>
      </c>
      <c r="P26" s="47">
        <f ca="1">IF(M26&gt;0,N26*100/M26,0)</f>
        <v>0</v>
      </c>
    </row>
    <row r="27" spans="1:16" ht="18.75" hidden="1" x14ac:dyDescent="0.25">
      <c r="A27" s="40"/>
      <c r="B27" s="41"/>
      <c r="C27" s="41"/>
      <c r="D27" s="42" t="s">
        <v>22</v>
      </c>
      <c r="E27" s="41"/>
      <c r="F27" s="41"/>
      <c r="G27" s="43"/>
      <c r="H27" s="44" t="s">
        <v>12</v>
      </c>
      <c r="I27" s="45"/>
      <c r="J27" s="45"/>
      <c r="K27" s="46"/>
      <c r="L27" s="47"/>
      <c r="M27" s="47"/>
      <c r="N27" s="47"/>
      <c r="O27" s="47"/>
      <c r="P27" s="47"/>
    </row>
    <row r="28" spans="1:16" ht="18.75" hidden="1" x14ac:dyDescent="0.25">
      <c r="A28" s="40"/>
      <c r="B28" s="41"/>
      <c r="C28" s="41"/>
      <c r="D28" s="41"/>
      <c r="E28" s="279" t="s">
        <v>18</v>
      </c>
      <c r="F28" s="41"/>
      <c r="G28" s="43"/>
      <c r="H28" s="49" t="s">
        <v>12</v>
      </c>
      <c r="I28" s="45"/>
      <c r="J28" s="45"/>
      <c r="K28" s="46"/>
      <c r="L28" s="50"/>
      <c r="M28" s="50"/>
      <c r="N28" s="50"/>
      <c r="O28" s="50"/>
      <c r="P28" s="50"/>
    </row>
    <row r="29" spans="1:16" ht="18.75" hidden="1" x14ac:dyDescent="0.25">
      <c r="A29" s="52"/>
      <c r="B29" s="1"/>
      <c r="C29" s="1"/>
      <c r="D29" s="1"/>
      <c r="E29" s="53" t="s">
        <v>19</v>
      </c>
      <c r="F29" s="1"/>
      <c r="G29" s="54"/>
      <c r="H29" s="55" t="s">
        <v>12</v>
      </c>
      <c r="I29" s="56"/>
      <c r="J29" s="56"/>
      <c r="K29" s="57"/>
      <c r="L29" s="58"/>
      <c r="M29" s="58"/>
      <c r="N29" s="58"/>
      <c r="O29" s="58"/>
      <c r="P29" s="58"/>
    </row>
    <row r="30" spans="1:16" ht="12.75" hidden="1" x14ac:dyDescent="0.2">
      <c r="A30" s="381"/>
      <c r="B30" s="379"/>
      <c r="C30" s="379"/>
      <c r="D30" s="379"/>
      <c r="E30" s="379"/>
      <c r="F30" s="379"/>
      <c r="G30" s="380"/>
      <c r="H30" s="12"/>
      <c r="I30" s="13"/>
      <c r="J30" s="13"/>
      <c r="K30" s="14"/>
      <c r="L30" s="14"/>
      <c r="M30" s="14"/>
      <c r="N30" s="14"/>
      <c r="O30" s="14"/>
      <c r="P30" s="14"/>
    </row>
    <row r="31" spans="1:16" ht="12.75" hidden="1" x14ac:dyDescent="0.2">
      <c r="A31" s="15"/>
      <c r="B31" s="16"/>
      <c r="C31" s="16"/>
      <c r="D31" s="16"/>
      <c r="E31" s="16"/>
      <c r="F31" s="16"/>
      <c r="G31" s="17"/>
      <c r="H31" s="17"/>
      <c r="I31" s="18"/>
      <c r="J31" s="18"/>
      <c r="K31" s="19"/>
      <c r="L31" s="19"/>
      <c r="M31" s="19"/>
      <c r="N31" s="19"/>
      <c r="O31" s="19"/>
      <c r="P31" s="19"/>
    </row>
    <row r="32" spans="1:16" ht="12.75" hidden="1" x14ac:dyDescent="0.2">
      <c r="A32" s="15"/>
      <c r="B32" s="16"/>
      <c r="C32" s="16"/>
      <c r="D32" s="16"/>
      <c r="E32" s="16"/>
      <c r="F32" s="16"/>
      <c r="G32" s="17"/>
      <c r="H32" s="17"/>
      <c r="I32" s="18"/>
      <c r="J32" s="18"/>
      <c r="K32" s="19"/>
      <c r="L32" s="19"/>
      <c r="M32" s="19"/>
      <c r="N32" s="19"/>
      <c r="O32" s="19"/>
      <c r="P32" s="19"/>
    </row>
    <row r="33" spans="1:16" ht="12.75" hidden="1" x14ac:dyDescent="0.2">
      <c r="A33" s="15"/>
      <c r="B33" s="16"/>
      <c r="C33" s="16"/>
      <c r="D33" s="16"/>
      <c r="E33" s="16"/>
      <c r="F33" s="16"/>
      <c r="G33" s="17"/>
      <c r="H33" s="17"/>
      <c r="I33" s="18"/>
      <c r="J33" s="18"/>
      <c r="K33" s="19"/>
      <c r="L33" s="19"/>
      <c r="M33" s="19"/>
      <c r="N33" s="19"/>
      <c r="O33" s="19"/>
      <c r="P33" s="19"/>
    </row>
    <row r="34" spans="1:16" ht="12.75" hidden="1" x14ac:dyDescent="0.2">
      <c r="A34" s="15"/>
      <c r="B34" s="16"/>
      <c r="C34" s="16"/>
      <c r="D34" s="16"/>
      <c r="E34" s="16"/>
      <c r="F34" s="16"/>
      <c r="G34" s="17"/>
      <c r="H34" s="17"/>
      <c r="I34" s="18"/>
      <c r="J34" s="18"/>
      <c r="K34" s="19"/>
      <c r="L34" s="19"/>
      <c r="M34" s="19"/>
      <c r="N34" s="19"/>
      <c r="O34" s="19"/>
      <c r="P34" s="19"/>
    </row>
    <row r="35" spans="1:16" ht="12.75" hidden="1" x14ac:dyDescent="0.2">
      <c r="A35" s="15"/>
      <c r="B35" s="16"/>
      <c r="C35" s="16"/>
      <c r="D35" s="16"/>
      <c r="E35" s="16"/>
      <c r="F35" s="16"/>
      <c r="G35" s="17"/>
      <c r="H35" s="17"/>
      <c r="I35" s="18"/>
      <c r="J35" s="18"/>
      <c r="K35" s="19"/>
      <c r="L35" s="19"/>
      <c r="M35" s="19"/>
      <c r="N35" s="19"/>
      <c r="O35" s="19"/>
      <c r="P35" s="19"/>
    </row>
    <row r="36" spans="1:16" ht="12.75" hidden="1" x14ac:dyDescent="0.2">
      <c r="A36" s="15"/>
      <c r="B36" s="16"/>
      <c r="C36" s="16"/>
      <c r="D36" s="16"/>
      <c r="E36" s="16"/>
      <c r="F36" s="16"/>
      <c r="G36" s="17"/>
      <c r="H36" s="17"/>
      <c r="I36" s="18"/>
      <c r="J36" s="18"/>
      <c r="K36" s="19"/>
      <c r="L36" s="19"/>
      <c r="M36" s="19"/>
      <c r="N36" s="19"/>
      <c r="O36" s="19"/>
      <c r="P36" s="19"/>
    </row>
    <row r="37" spans="1:16" ht="12.75" hidden="1" x14ac:dyDescent="0.2">
      <c r="A37" s="15"/>
      <c r="B37" s="16"/>
      <c r="C37" s="16"/>
      <c r="D37" s="16"/>
      <c r="E37" s="16"/>
      <c r="F37" s="16"/>
      <c r="G37" s="17"/>
      <c r="H37" s="17"/>
      <c r="I37" s="18"/>
      <c r="J37" s="18"/>
      <c r="K37" s="19"/>
      <c r="L37" s="19"/>
      <c r="M37" s="19"/>
      <c r="N37" s="19"/>
      <c r="O37" s="19"/>
      <c r="P37" s="19"/>
    </row>
    <row r="38" spans="1:16" ht="12.75" hidden="1" x14ac:dyDescent="0.2">
      <c r="A38" s="15"/>
      <c r="B38" s="16"/>
      <c r="C38" s="16"/>
      <c r="D38" s="16"/>
      <c r="E38" s="16"/>
      <c r="F38" s="16"/>
      <c r="G38" s="17"/>
      <c r="H38" s="17"/>
      <c r="I38" s="18"/>
      <c r="J38" s="18"/>
      <c r="K38" s="19"/>
      <c r="L38" s="19"/>
      <c r="M38" s="19"/>
      <c r="N38" s="19"/>
      <c r="O38" s="19"/>
      <c r="P38" s="19"/>
    </row>
    <row r="39" spans="1:16" ht="12.75" hidden="1" x14ac:dyDescent="0.2">
      <c r="A39" s="20"/>
      <c r="B39" s="21"/>
      <c r="C39" s="21"/>
      <c r="D39" s="21"/>
      <c r="E39" s="21"/>
      <c r="F39" s="21"/>
      <c r="G39" s="12"/>
      <c r="H39" s="12"/>
      <c r="I39" s="13"/>
      <c r="J39" s="13"/>
      <c r="K39" s="14"/>
      <c r="L39" s="14"/>
      <c r="M39" s="14"/>
      <c r="N39" s="14"/>
      <c r="O39" s="14"/>
      <c r="P39" s="14"/>
    </row>
    <row r="40" spans="1:16" ht="19.5" hidden="1" x14ac:dyDescent="0.3">
      <c r="A40" s="59" t="s">
        <v>23</v>
      </c>
      <c r="B40" s="60"/>
      <c r="C40" s="60"/>
      <c r="D40" s="60"/>
      <c r="E40" s="60"/>
      <c r="F40" s="60"/>
      <c r="G40" s="61"/>
      <c r="H40" s="61"/>
      <c r="I40" s="62"/>
      <c r="J40" s="62"/>
      <c r="K40" s="63"/>
      <c r="L40" s="64">
        <f ca="1">L44+L59+L72+L94+L125+L139+L157+L173+L186+L266+L282+L303+L320+L333+L356</f>
        <v>2479995</v>
      </c>
      <c r="M40" s="64">
        <f ca="1">M44+M59+M72+M94+M125+M139+M157+M173+M186+M266+M282+M303+M320+M333+M356</f>
        <v>2224615</v>
      </c>
      <c r="N40" s="64">
        <f ca="1">N44+N59+N72+N94+N125+N139+N157+N173+N186+N266+N282+N303+N320+N333+N356</f>
        <v>670559.75000000012</v>
      </c>
      <c r="O40" s="64">
        <f ca="1">IF(L40&gt;0,N40*100/L40,0)</f>
        <v>27.038754110391359</v>
      </c>
      <c r="P40" s="64">
        <f ca="1">IF(M40&gt;0,N40*100/M40,0)</f>
        <v>30.142732562713107</v>
      </c>
    </row>
    <row r="41" spans="1:16" ht="19.5" x14ac:dyDescent="0.3">
      <c r="A41" s="65" t="s">
        <v>24</v>
      </c>
      <c r="B41" s="66"/>
      <c r="C41" s="66"/>
      <c r="D41" s="66"/>
      <c r="E41" s="66"/>
      <c r="F41" s="66"/>
      <c r="G41" s="66"/>
      <c r="H41" s="66"/>
      <c r="I41" s="67"/>
      <c r="J41" s="67"/>
      <c r="K41" s="68"/>
      <c r="L41" s="68"/>
      <c r="M41" s="68"/>
      <c r="N41" s="68"/>
      <c r="O41" s="68"/>
      <c r="P41" s="69"/>
    </row>
    <row r="42" spans="1:16" ht="19.5" x14ac:dyDescent="0.3">
      <c r="A42" s="70"/>
      <c r="B42" s="71" t="s">
        <v>25</v>
      </c>
      <c r="C42" s="70"/>
      <c r="D42" s="70"/>
      <c r="E42" s="70"/>
      <c r="F42" s="70"/>
      <c r="G42" s="72"/>
      <c r="H42" s="72"/>
      <c r="I42" s="73"/>
      <c r="J42" s="73"/>
      <c r="K42" s="74"/>
      <c r="L42" s="74"/>
      <c r="M42" s="74"/>
      <c r="N42" s="74"/>
      <c r="O42" s="74"/>
      <c r="P42" s="74"/>
    </row>
    <row r="43" spans="1:16" ht="12.75" hidden="1" x14ac:dyDescent="0.2">
      <c r="A43" s="15"/>
      <c r="B43" s="16"/>
      <c r="C43" s="16"/>
      <c r="D43" s="16"/>
      <c r="E43" s="16"/>
      <c r="F43" s="16"/>
      <c r="G43" s="17"/>
      <c r="H43" s="17"/>
      <c r="I43" s="18"/>
      <c r="J43" s="18"/>
      <c r="K43" s="19"/>
      <c r="L43" s="19"/>
      <c r="M43" s="19"/>
      <c r="N43" s="19"/>
      <c r="O43" s="19"/>
      <c r="P43" s="19"/>
    </row>
    <row r="44" spans="1:16" ht="19.5" x14ac:dyDescent="0.3">
      <c r="A44" s="75"/>
      <c r="B44" s="76"/>
      <c r="C44" s="77" t="s">
        <v>16</v>
      </c>
      <c r="D44" s="404" t="s">
        <v>17</v>
      </c>
      <c r="E44" s="76"/>
      <c r="F44" s="76"/>
      <c r="G44" s="79"/>
      <c r="H44" s="80" t="s">
        <v>12</v>
      </c>
      <c r="I44" s="81"/>
      <c r="J44" s="81"/>
      <c r="K44" s="82"/>
      <c r="L44" s="83">
        <f ca="1">L45+L46</f>
        <v>567650</v>
      </c>
      <c r="M44" s="83">
        <f ca="1">M45+M46</f>
        <v>567650</v>
      </c>
      <c r="N44" s="83">
        <f ca="1">N45+N46</f>
        <v>133250</v>
      </c>
      <c r="O44" s="83">
        <f ca="1">IF(L44&gt;0,N44*100/L44,0)</f>
        <v>23.473971637452657</v>
      </c>
      <c r="P44" s="83">
        <f ca="1">IF(M44&gt;0,N44*100/M44,0)</f>
        <v>23.473971637452657</v>
      </c>
    </row>
    <row r="45" spans="1:16" ht="18.75" hidden="1" x14ac:dyDescent="0.25">
      <c r="A45" s="75"/>
      <c r="B45" s="76"/>
      <c r="C45" s="76"/>
      <c r="D45" s="76"/>
      <c r="E45" s="84" t="s">
        <v>18</v>
      </c>
      <c r="F45" s="76"/>
      <c r="G45" s="79"/>
      <c r="H45" s="85" t="s">
        <v>12</v>
      </c>
      <c r="I45" s="81"/>
      <c r="J45" s="81"/>
      <c r="K45" s="82"/>
      <c r="L45" s="86">
        <f>L48+L51</f>
        <v>0</v>
      </c>
      <c r="M45" s="86">
        <f>M48+M51</f>
        <v>0</v>
      </c>
      <c r="N45" s="86">
        <f>N48+N51</f>
        <v>0</v>
      </c>
      <c r="O45" s="86">
        <f>IF(L45&gt;0,N45*100/L45,0)</f>
        <v>0</v>
      </c>
      <c r="P45" s="86">
        <f>IF(M45&gt;0,N45*100/M45,0)</f>
        <v>0</v>
      </c>
    </row>
    <row r="46" spans="1:16" ht="18.75" x14ac:dyDescent="0.25">
      <c r="A46" s="75"/>
      <c r="B46" s="76"/>
      <c r="C46" s="76"/>
      <c r="D46" s="76"/>
      <c r="E46" s="87" t="s">
        <v>19</v>
      </c>
      <c r="F46" s="76"/>
      <c r="G46" s="79"/>
      <c r="H46" s="88" t="s">
        <v>12</v>
      </c>
      <c r="I46" s="81"/>
      <c r="J46" s="81"/>
      <c r="K46" s="82"/>
      <c r="L46" s="89">
        <f ca="1">L49+L52</f>
        <v>567650</v>
      </c>
      <c r="M46" s="89">
        <f ca="1">M49+M52</f>
        <v>567650</v>
      </c>
      <c r="N46" s="89">
        <f ca="1">N49+N52</f>
        <v>133250</v>
      </c>
      <c r="O46" s="89">
        <f ca="1">IF(L46&gt;0,N46*100/L46,0)</f>
        <v>23.473971637452657</v>
      </c>
      <c r="P46" s="89">
        <f ca="1">IF(M46&gt;0,N46*100/M46,0)</f>
        <v>23.473971637452657</v>
      </c>
    </row>
    <row r="47" spans="1:16" ht="18.75" x14ac:dyDescent="0.25">
      <c r="A47" s="40"/>
      <c r="B47" s="41"/>
      <c r="C47" s="41"/>
      <c r="D47" s="42" t="s">
        <v>20</v>
      </c>
      <c r="E47" s="41"/>
      <c r="F47" s="41"/>
      <c r="G47" s="43"/>
      <c r="H47" s="44" t="s">
        <v>12</v>
      </c>
      <c r="I47" s="45"/>
      <c r="J47" s="45"/>
      <c r="K47" s="46"/>
      <c r="L47" s="47">
        <f ca="1">L48+L49</f>
        <v>567650</v>
      </c>
      <c r="M47" s="47">
        <f ca="1">M48+M49</f>
        <v>567650</v>
      </c>
      <c r="N47" s="47">
        <f ca="1">N48+N49</f>
        <v>133250</v>
      </c>
      <c r="O47" s="47">
        <f ca="1">IF(L47&gt;0,N47*100/L47,0)</f>
        <v>23.473971637452657</v>
      </c>
      <c r="P47" s="47">
        <f ca="1">IF(M47&gt;0,N47*100/M47,0)</f>
        <v>23.473971637452657</v>
      </c>
    </row>
    <row r="48" spans="1:16" ht="18.75" hidden="1" x14ac:dyDescent="0.25">
      <c r="A48" s="40"/>
      <c r="B48" s="41"/>
      <c r="C48" s="41"/>
      <c r="D48" s="41"/>
      <c r="E48" s="279" t="s">
        <v>18</v>
      </c>
      <c r="F48" s="41"/>
      <c r="G48" s="43"/>
      <c r="H48" s="49" t="s">
        <v>12</v>
      </c>
      <c r="I48" s="45"/>
      <c r="J48" s="45"/>
      <c r="K48" s="46"/>
      <c r="L48" s="50">
        <v>0</v>
      </c>
      <c r="M48" s="50">
        <v>0</v>
      </c>
      <c r="N48" s="50">
        <v>0</v>
      </c>
      <c r="O48" s="50">
        <f>IF(L48&gt;0,N48*100/L48,0)</f>
        <v>0</v>
      </c>
      <c r="P48" s="50">
        <f>IF(M48&gt;0,N48*100/M48,0)</f>
        <v>0</v>
      </c>
    </row>
    <row r="49" spans="1:16" ht="18.75" x14ac:dyDescent="0.25">
      <c r="A49" s="40"/>
      <c r="B49" s="41"/>
      <c r="C49" s="41"/>
      <c r="D49" s="41"/>
      <c r="E49" s="254" t="s">
        <v>19</v>
      </c>
      <c r="F49" s="41"/>
      <c r="G49" s="43"/>
      <c r="H49" s="44" t="s">
        <v>12</v>
      </c>
      <c r="I49" s="45"/>
      <c r="J49" s="45"/>
      <c r="K49" s="46"/>
      <c r="L49" s="47">
        <f ca="1">IFERROR(__xludf.DUMMYFUNCTION("IMPORTRANGE(""https://docs.google.com/spreadsheets/d/1-uDff_7J0KD5mKrp0Vvzr7lt3OU09vwQwhkpOPPYv2Y/edit?usp=sharing"",""งบพรบ!P16"")"),567650)</f>
        <v>567650</v>
      </c>
      <c r="M49" s="47">
        <f ca="1">IFERROR(__xludf.DUMMYFUNCTION("IMPORTRANGE(""https://docs.google.com/spreadsheets/d/1-uDff_7J0KD5mKrp0Vvzr7lt3OU09vwQwhkpOPPYv2Y/edit?usp=sharing"",""งบพรบ!V16"")"),567650)</f>
        <v>567650</v>
      </c>
      <c r="N49" s="47">
        <f ca="1">IFERROR(__xludf.DUMMYFUNCTION("IMPORTRANGE(""https://docs.google.com/spreadsheets/d/1-uDff_7J0KD5mKrp0Vvzr7lt3OU09vwQwhkpOPPYv2Y/edit?usp=sharing"",""งบพรบ!Y16"")"),133250)</f>
        <v>133250</v>
      </c>
      <c r="O49" s="47">
        <f ca="1">IF(L49&gt;0,N49*100/L49,0)</f>
        <v>23.473971637452657</v>
      </c>
      <c r="P49" s="47">
        <f ca="1">IF(M49&gt;0,N49*100/M49,0)</f>
        <v>23.473971637452657</v>
      </c>
    </row>
    <row r="50" spans="1:16" ht="18.75" x14ac:dyDescent="0.25">
      <c r="A50" s="40"/>
      <c r="B50" s="41"/>
      <c r="C50" s="41"/>
      <c r="D50" s="42" t="s">
        <v>21</v>
      </c>
      <c r="E50" s="41"/>
      <c r="F50" s="41"/>
      <c r="G50" s="43"/>
      <c r="H50" s="44" t="s">
        <v>12</v>
      </c>
      <c r="I50" s="45"/>
      <c r="J50" s="45"/>
      <c r="K50" s="46"/>
      <c r="L50" s="47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</row>
    <row r="51" spans="1:16" ht="18.75" hidden="1" x14ac:dyDescent="0.25">
      <c r="A51" s="40"/>
      <c r="B51" s="41"/>
      <c r="C51" s="41"/>
      <c r="D51" s="41"/>
      <c r="E51" s="279" t="s">
        <v>18</v>
      </c>
      <c r="F51" s="41"/>
      <c r="G51" s="43"/>
      <c r="H51" s="49" t="s">
        <v>12</v>
      </c>
      <c r="I51" s="45"/>
      <c r="J51" s="45"/>
      <c r="K51" s="46"/>
      <c r="L51" s="50">
        <v>0</v>
      </c>
      <c r="M51" s="50">
        <v>0</v>
      </c>
      <c r="N51" s="50">
        <v>0</v>
      </c>
      <c r="O51" s="50">
        <f>IF(L51&gt;0,N51*100/L51,0)</f>
        <v>0</v>
      </c>
      <c r="P51" s="50">
        <f>IF(M51&gt;0,N51*100/M51,0)</f>
        <v>0</v>
      </c>
    </row>
    <row r="52" spans="1:16" ht="18.75" x14ac:dyDescent="0.25">
      <c r="A52" s="40"/>
      <c r="B52" s="41"/>
      <c r="C52" s="41"/>
      <c r="D52" s="41"/>
      <c r="E52" s="254" t="s">
        <v>19</v>
      </c>
      <c r="F52" s="41"/>
      <c r="G52" s="43"/>
      <c r="H52" s="44" t="s">
        <v>12</v>
      </c>
      <c r="I52" s="45"/>
      <c r="J52" s="45"/>
      <c r="K52" s="46"/>
      <c r="L52" s="47">
        <f ca="1">IFERROR(__xludf.DUMMYFUNCTION("IMPORTRANGE(""https://docs.google.com/spreadsheets/d/1-uDff_7J0KD5mKrp0Vvzr7lt3OU09vwQwhkpOPPYv2Y/edit?usp=sharing"",""งบพรบ!S16"")"),0)</f>
        <v>0</v>
      </c>
      <c r="M52" s="47">
        <f ca="1">IFERROR(__xludf.DUMMYFUNCTION("IMPORTRANGE(""https://docs.google.com/spreadsheets/d/1-uDff_7J0KD5mKrp0Vvzr7lt3OU09vwQwhkpOPPYv2Y/edit?usp=sharing"",""งบพรบ!W16"")"),0)</f>
        <v>0</v>
      </c>
      <c r="N52" s="47">
        <f ca="1">IFERROR(__xludf.DUMMYFUNCTION("IMPORTRANGE(""https://docs.google.com/spreadsheets/d/1-uDff_7J0KD5mKrp0Vvzr7lt3OU09vwQwhkpOPPYv2Y/edit?usp=sharing"",""งบพรบ!Z16"")"),0)</f>
        <v>0</v>
      </c>
      <c r="O52" s="47">
        <f ca="1">IF(L52&gt;0,N52*100/L52,0)</f>
        <v>0</v>
      </c>
      <c r="P52" s="47">
        <f ca="1">IF(M52&gt;0,N52*100/M52,0)</f>
        <v>0</v>
      </c>
    </row>
    <row r="53" spans="1:16" ht="18.75" hidden="1" x14ac:dyDescent="0.25">
      <c r="A53" s="40"/>
      <c r="B53" s="41"/>
      <c r="C53" s="41"/>
      <c r="D53" s="42" t="s">
        <v>22</v>
      </c>
      <c r="E53" s="41"/>
      <c r="F53" s="41"/>
      <c r="G53" s="43"/>
      <c r="H53" s="44" t="s">
        <v>12</v>
      </c>
      <c r="I53" s="45"/>
      <c r="J53" s="45"/>
      <c r="K53" s="46"/>
      <c r="L53" s="47"/>
      <c r="M53" s="47"/>
      <c r="N53" s="47"/>
      <c r="O53" s="47"/>
      <c r="P53" s="47"/>
    </row>
    <row r="54" spans="1:16" ht="18.75" hidden="1" x14ac:dyDescent="0.25">
      <c r="A54" s="40"/>
      <c r="B54" s="41"/>
      <c r="C54" s="41"/>
      <c r="D54" s="41"/>
      <c r="E54" s="279" t="s">
        <v>18</v>
      </c>
      <c r="F54" s="41"/>
      <c r="G54" s="43"/>
      <c r="H54" s="49" t="s">
        <v>12</v>
      </c>
      <c r="I54" s="45"/>
      <c r="J54" s="45"/>
      <c r="K54" s="46"/>
      <c r="L54" s="50"/>
      <c r="M54" s="50"/>
      <c r="N54" s="50"/>
      <c r="O54" s="50"/>
      <c r="P54" s="50"/>
    </row>
    <row r="55" spans="1:16" ht="18.75" hidden="1" x14ac:dyDescent="0.25">
      <c r="A55" s="52"/>
      <c r="B55" s="1"/>
      <c r="C55" s="1"/>
      <c r="D55" s="1"/>
      <c r="E55" s="53" t="s">
        <v>19</v>
      </c>
      <c r="F55" s="1"/>
      <c r="G55" s="54"/>
      <c r="H55" s="55" t="s">
        <v>12</v>
      </c>
      <c r="I55" s="56"/>
      <c r="J55" s="56"/>
      <c r="K55" s="57"/>
      <c r="L55" s="58"/>
      <c r="M55" s="58"/>
      <c r="N55" s="58"/>
      <c r="O55" s="58"/>
      <c r="P55" s="58"/>
    </row>
    <row r="56" spans="1:16" ht="19.5" x14ac:dyDescent="0.3">
      <c r="A56" s="382" t="s">
        <v>26</v>
      </c>
      <c r="B56" s="379"/>
      <c r="C56" s="379"/>
      <c r="D56" s="379"/>
      <c r="E56" s="379"/>
      <c r="F56" s="379"/>
      <c r="G56" s="380"/>
      <c r="H56" s="90"/>
      <c r="I56" s="91"/>
      <c r="J56" s="91"/>
      <c r="K56" s="92"/>
      <c r="L56" s="92"/>
      <c r="M56" s="92"/>
      <c r="N56" s="92"/>
      <c r="O56" s="92"/>
      <c r="P56" s="93"/>
    </row>
    <row r="57" spans="1:16" ht="19.5" x14ac:dyDescent="0.3">
      <c r="A57" s="94"/>
      <c r="B57" s="383" t="s">
        <v>27</v>
      </c>
      <c r="C57" s="384"/>
      <c r="D57" s="384"/>
      <c r="E57" s="384"/>
      <c r="F57" s="384"/>
      <c r="G57" s="385"/>
      <c r="H57" s="95"/>
      <c r="I57" s="96"/>
      <c r="J57" s="96"/>
      <c r="K57" s="97"/>
      <c r="L57" s="97"/>
      <c r="M57" s="97"/>
      <c r="N57" s="97"/>
      <c r="O57" s="97"/>
      <c r="P57" s="97"/>
    </row>
    <row r="58" spans="1:16" ht="19.5" x14ac:dyDescent="0.3">
      <c r="A58" s="98"/>
      <c r="B58" s="99" t="s">
        <v>28</v>
      </c>
      <c r="C58" s="100"/>
      <c r="D58" s="100"/>
      <c r="E58" s="100"/>
      <c r="F58" s="100"/>
      <c r="G58" s="101"/>
      <c r="H58" s="101"/>
      <c r="I58" s="102"/>
      <c r="J58" s="102"/>
      <c r="K58" s="103"/>
      <c r="L58" s="103"/>
      <c r="M58" s="103"/>
      <c r="N58" s="103"/>
      <c r="O58" s="103"/>
      <c r="P58" s="103"/>
    </row>
    <row r="59" spans="1:16" ht="19.5" x14ac:dyDescent="0.3">
      <c r="A59" s="104"/>
      <c r="B59" s="105"/>
      <c r="C59" s="106" t="s">
        <v>16</v>
      </c>
      <c r="D59" s="403" t="s">
        <v>17</v>
      </c>
      <c r="E59" s="105"/>
      <c r="F59" s="105"/>
      <c r="G59" s="108"/>
      <c r="H59" s="109" t="s">
        <v>12</v>
      </c>
      <c r="I59" s="110"/>
      <c r="J59" s="110"/>
      <c r="K59" s="111"/>
      <c r="L59" s="112">
        <f ca="1">L60+L61</f>
        <v>483100</v>
      </c>
      <c r="M59" s="112">
        <f ca="1">M60+M61</f>
        <v>424090</v>
      </c>
      <c r="N59" s="112">
        <f ca="1">N60+N61</f>
        <v>270740.07</v>
      </c>
      <c r="O59" s="112">
        <f ca="1">IF(L59&gt;0,N59*100/L59,0)</f>
        <v>56.042241771889877</v>
      </c>
      <c r="P59" s="112">
        <f ca="1">IF(M59&gt;0,N59*100/M59,0)</f>
        <v>63.840239100190999</v>
      </c>
    </row>
    <row r="60" spans="1:16" ht="18.75" hidden="1" x14ac:dyDescent="0.25">
      <c r="A60" s="104"/>
      <c r="B60" s="105"/>
      <c r="C60" s="105"/>
      <c r="D60" s="105"/>
      <c r="E60" s="113" t="s">
        <v>18</v>
      </c>
      <c r="F60" s="105"/>
      <c r="G60" s="108"/>
      <c r="H60" s="114" t="s">
        <v>12</v>
      </c>
      <c r="I60" s="110"/>
      <c r="J60" s="110"/>
      <c r="K60" s="111"/>
      <c r="L60" s="115">
        <f>L63+L66</f>
        <v>0</v>
      </c>
      <c r="M60" s="115">
        <f>M63+M66</f>
        <v>0</v>
      </c>
      <c r="N60" s="115">
        <f>N63+N66</f>
        <v>0</v>
      </c>
      <c r="O60" s="115">
        <f>IF(L60&gt;0,N60*100/L60,0)</f>
        <v>0</v>
      </c>
      <c r="P60" s="115">
        <f>IF(M60&gt;0,N60*100/M60,0)</f>
        <v>0</v>
      </c>
    </row>
    <row r="61" spans="1:16" ht="18.75" x14ac:dyDescent="0.25">
      <c r="A61" s="104"/>
      <c r="B61" s="105"/>
      <c r="C61" s="105"/>
      <c r="D61" s="105"/>
      <c r="E61" s="116" t="s">
        <v>19</v>
      </c>
      <c r="F61" s="105"/>
      <c r="G61" s="108"/>
      <c r="H61" s="117" t="s">
        <v>12</v>
      </c>
      <c r="I61" s="110"/>
      <c r="J61" s="110"/>
      <c r="K61" s="111"/>
      <c r="L61" s="118">
        <f ca="1">L64+L67</f>
        <v>483100</v>
      </c>
      <c r="M61" s="118">
        <f ca="1">M64+M67</f>
        <v>424090</v>
      </c>
      <c r="N61" s="118">
        <f ca="1">N64+N67</f>
        <v>270740.07</v>
      </c>
      <c r="O61" s="118">
        <f ca="1">IF(L61&gt;0,N61*100/L61,0)</f>
        <v>56.042241771889877</v>
      </c>
      <c r="P61" s="118">
        <f ca="1">IF(M61&gt;0,N61*100/M61,0)</f>
        <v>63.840239100190999</v>
      </c>
    </row>
    <row r="62" spans="1:16" ht="18.75" x14ac:dyDescent="0.25">
      <c r="A62" s="40"/>
      <c r="B62" s="41"/>
      <c r="C62" s="41"/>
      <c r="D62" s="42" t="s">
        <v>20</v>
      </c>
      <c r="E62" s="41"/>
      <c r="F62" s="41"/>
      <c r="G62" s="43"/>
      <c r="H62" s="44" t="s">
        <v>12</v>
      </c>
      <c r="I62" s="45"/>
      <c r="J62" s="45"/>
      <c r="K62" s="46"/>
      <c r="L62" s="47">
        <f ca="1">L63+L64</f>
        <v>483100</v>
      </c>
      <c r="M62" s="47">
        <f ca="1">M63+M64</f>
        <v>424090</v>
      </c>
      <c r="N62" s="47">
        <f ca="1">N63+N64</f>
        <v>270740.07</v>
      </c>
      <c r="O62" s="47">
        <f ca="1">IF(L62&gt;0,N62*100/L62,0)</f>
        <v>56.042241771889877</v>
      </c>
      <c r="P62" s="47">
        <f ca="1">IF(M62&gt;0,N62*100/M62,0)</f>
        <v>63.840239100190999</v>
      </c>
    </row>
    <row r="63" spans="1:16" ht="18.75" hidden="1" x14ac:dyDescent="0.25">
      <c r="A63" s="40"/>
      <c r="B63" s="41"/>
      <c r="C63" s="41"/>
      <c r="D63" s="41"/>
      <c r="E63" s="279" t="s">
        <v>18</v>
      </c>
      <c r="F63" s="41"/>
      <c r="G63" s="43"/>
      <c r="H63" s="49" t="s">
        <v>12</v>
      </c>
      <c r="I63" s="45"/>
      <c r="J63" s="45"/>
      <c r="K63" s="46"/>
      <c r="L63" s="50">
        <v>0</v>
      </c>
      <c r="M63" s="50">
        <v>0</v>
      </c>
      <c r="N63" s="50">
        <v>0</v>
      </c>
      <c r="O63" s="50">
        <f>IF(L63&gt;0,N63*100/L63,0)</f>
        <v>0</v>
      </c>
      <c r="P63" s="50">
        <f>IF(M63&gt;0,N63*100/M63,0)</f>
        <v>0</v>
      </c>
    </row>
    <row r="64" spans="1:16" ht="18.75" x14ac:dyDescent="0.25">
      <c r="A64" s="40"/>
      <c r="B64" s="41"/>
      <c r="C64" s="41"/>
      <c r="D64" s="41"/>
      <c r="E64" s="254" t="s">
        <v>19</v>
      </c>
      <c r="F64" s="41"/>
      <c r="G64" s="43"/>
      <c r="H64" s="44" t="s">
        <v>12</v>
      </c>
      <c r="I64" s="45"/>
      <c r="J64" s="45"/>
      <c r="K64" s="46"/>
      <c r="L64" s="47">
        <f ca="1">IFERROR(__xludf.DUMMYFUNCTION("IMPORTRANGE(""https://docs.google.com/spreadsheets/d/1-uDff_7J0KD5mKrp0Vvzr7lt3OU09vwQwhkpOPPYv2Y/edit?usp=sharing"",""งบพรบ!AC16"")"),483100)</f>
        <v>483100</v>
      </c>
      <c r="M64" s="47">
        <f ca="1">IFERROR(__xludf.DUMMYFUNCTION("IMPORTRANGE(""https://docs.google.com/spreadsheets/d/1-uDff_7J0KD5mKrp0Vvzr7lt3OU09vwQwhkpOPPYv2Y/edit?usp=sharing"",""งบพรบ!AH16"")"),424090)</f>
        <v>424090</v>
      </c>
      <c r="N64" s="47">
        <f ca="1">IFERROR(__xludf.DUMMYFUNCTION("IMPORTRANGE(""https://docs.google.com/spreadsheets/d/1-uDff_7J0KD5mKrp0Vvzr7lt3OU09vwQwhkpOPPYv2Y/edit?usp=sharing"",""งบพรบ!AJ16"")"),270740.07)</f>
        <v>270740.07</v>
      </c>
      <c r="O64" s="47">
        <f ca="1">IF(L64&gt;0,N64*100/L64,0)</f>
        <v>56.042241771889877</v>
      </c>
      <c r="P64" s="47">
        <f ca="1">IF(M64&gt;0,N64*100/M64,0)</f>
        <v>63.840239100190999</v>
      </c>
    </row>
    <row r="65" spans="1:16" ht="18.75" x14ac:dyDescent="0.25">
      <c r="A65" s="40"/>
      <c r="B65" s="41"/>
      <c r="C65" s="41"/>
      <c r="D65" s="42" t="s">
        <v>21</v>
      </c>
      <c r="E65" s="41"/>
      <c r="F65" s="41"/>
      <c r="G65" s="43"/>
      <c r="H65" s="44" t="s">
        <v>12</v>
      </c>
      <c r="I65" s="45"/>
      <c r="J65" s="45"/>
      <c r="K65" s="46"/>
      <c r="L65" s="47">
        <f ca="1">L66+L67</f>
        <v>0</v>
      </c>
      <c r="M65" s="47">
        <f ca="1">M66+M67</f>
        <v>0</v>
      </c>
      <c r="N65" s="47">
        <f ca="1">N66+N67</f>
        <v>0</v>
      </c>
      <c r="O65" s="47">
        <f ca="1">IF(L65&gt;0,N65*100/L65,0)</f>
        <v>0</v>
      </c>
      <c r="P65" s="47">
        <f ca="1">IF(M65&gt;0,N65*100/M65,0)</f>
        <v>0</v>
      </c>
    </row>
    <row r="66" spans="1:16" ht="18.75" hidden="1" x14ac:dyDescent="0.25">
      <c r="A66" s="40"/>
      <c r="B66" s="41"/>
      <c r="C66" s="41"/>
      <c r="D66" s="41"/>
      <c r="E66" s="279" t="s">
        <v>18</v>
      </c>
      <c r="F66" s="41"/>
      <c r="G66" s="43"/>
      <c r="H66" s="49" t="s">
        <v>12</v>
      </c>
      <c r="I66" s="45"/>
      <c r="J66" s="45"/>
      <c r="K66" s="46"/>
      <c r="L66" s="50">
        <v>0</v>
      </c>
      <c r="M66" s="50">
        <v>0</v>
      </c>
      <c r="N66" s="50">
        <v>0</v>
      </c>
      <c r="O66" s="50">
        <f>IF(L66&gt;0,N66*100/L66,0)</f>
        <v>0</v>
      </c>
      <c r="P66" s="50">
        <f>IF(M66&gt;0,N66*100/M66,0)</f>
        <v>0</v>
      </c>
    </row>
    <row r="67" spans="1:16" ht="18.75" x14ac:dyDescent="0.25">
      <c r="A67" s="52"/>
      <c r="B67" s="1"/>
      <c r="C67" s="1"/>
      <c r="D67" s="1"/>
      <c r="E67" s="53" t="s">
        <v>19</v>
      </c>
      <c r="F67" s="1"/>
      <c r="G67" s="54"/>
      <c r="H67" s="55" t="s">
        <v>12</v>
      </c>
      <c r="I67" s="56"/>
      <c r="J67" s="56"/>
      <c r="K67" s="57"/>
      <c r="L67" s="58">
        <f ca="1">IFERROR(__xludf.DUMMYFUNCTION("IMPORTRANGE(""https://docs.google.com/spreadsheets/d/1-uDff_7J0KD5mKrp0Vvzr7lt3OU09vwQwhkpOPPYv2Y/edit?usp=sharing"",""งบพรบ!AF16"")"),0)</f>
        <v>0</v>
      </c>
      <c r="M67" s="58">
        <f ca="1">IFERROR(__xludf.DUMMYFUNCTION("IMPORTRANGE(""https://docs.google.com/spreadsheets/d/1-uDff_7J0KD5mKrp0Vvzr7lt3OU09vwQwhkpOPPYv2Y/edit?usp=sharing"",""งบพรบ!AI16"")"),0)</f>
        <v>0</v>
      </c>
      <c r="N67" s="58">
        <f ca="1">IFERROR(__xludf.DUMMYFUNCTION("IMPORTRANGE(""https://docs.google.com/spreadsheets/d/1-uDff_7J0KD5mKrp0Vvzr7lt3OU09vwQwhkpOPPYv2Y/edit?usp=sharing"",""งบพรบ!AK16"")"),0)</f>
        <v>0</v>
      </c>
      <c r="O67" s="58">
        <f ca="1">IF(L67&gt;0,N67*100/L67,0)</f>
        <v>0</v>
      </c>
      <c r="P67" s="58">
        <f ca="1">IF(M67&gt;0,N67*100/M67,0)</f>
        <v>0</v>
      </c>
    </row>
    <row r="68" spans="1:16" ht="19.5" hidden="1" x14ac:dyDescent="0.3">
      <c r="A68" s="119" t="s">
        <v>29</v>
      </c>
      <c r="B68" s="120"/>
      <c r="C68" s="120"/>
      <c r="D68" s="120"/>
      <c r="E68" s="121"/>
      <c r="F68" s="121"/>
      <c r="G68" s="121"/>
      <c r="H68" s="121"/>
      <c r="I68" s="122"/>
      <c r="J68" s="122"/>
      <c r="K68" s="123"/>
      <c r="L68" s="123"/>
      <c r="M68" s="123"/>
      <c r="N68" s="123"/>
      <c r="O68" s="123"/>
      <c r="P68" s="124"/>
    </row>
    <row r="69" spans="1:16" ht="19.5" hidden="1" x14ac:dyDescent="0.3">
      <c r="A69" s="125" t="s">
        <v>30</v>
      </c>
      <c r="B69" s="126"/>
      <c r="C69" s="127"/>
      <c r="D69" s="126"/>
      <c r="E69" s="126"/>
      <c r="F69" s="126"/>
      <c r="G69" s="128"/>
      <c r="H69" s="128"/>
      <c r="I69" s="129"/>
      <c r="J69" s="129"/>
      <c r="K69" s="130"/>
      <c r="L69" s="130"/>
      <c r="M69" s="130"/>
      <c r="N69" s="130"/>
      <c r="O69" s="130"/>
      <c r="P69" s="130"/>
    </row>
    <row r="70" spans="1:16" ht="19.5" hidden="1" x14ac:dyDescent="0.3">
      <c r="A70" s="131"/>
      <c r="B70" s="132" t="s">
        <v>31</v>
      </c>
      <c r="C70" s="26"/>
      <c r="D70" s="133"/>
      <c r="E70" s="26"/>
      <c r="F70" s="26"/>
      <c r="G70" s="29"/>
      <c r="H70" s="134" t="s">
        <v>32</v>
      </c>
      <c r="I70" s="135">
        <f ca="1">I82</f>
        <v>0</v>
      </c>
      <c r="J70" s="135">
        <f>J82</f>
        <v>0</v>
      </c>
      <c r="K70" s="33">
        <f ca="1">IF(I70&gt;0,J70*100/I70,0)</f>
        <v>0</v>
      </c>
      <c r="L70" s="32"/>
      <c r="M70" s="32"/>
      <c r="N70" s="32"/>
      <c r="O70" s="32"/>
      <c r="P70" s="32"/>
    </row>
    <row r="71" spans="1:16" ht="19.5" hidden="1" x14ac:dyDescent="0.3">
      <c r="A71" s="131"/>
      <c r="B71" s="26"/>
      <c r="C71" s="26"/>
      <c r="D71" s="133"/>
      <c r="E71" s="26"/>
      <c r="F71" s="26"/>
      <c r="G71" s="29"/>
      <c r="H71" s="134" t="s">
        <v>33</v>
      </c>
      <c r="I71" s="135">
        <f ca="1">I83</f>
        <v>0</v>
      </c>
      <c r="J71" s="135">
        <f>J83</f>
        <v>0</v>
      </c>
      <c r="K71" s="33">
        <f ca="1">IF(I71&gt;0,J71*100/I71,0)</f>
        <v>0</v>
      </c>
      <c r="L71" s="32"/>
      <c r="M71" s="32"/>
      <c r="N71" s="32"/>
      <c r="O71" s="32"/>
      <c r="P71" s="32"/>
    </row>
    <row r="72" spans="1:16" ht="19.5" hidden="1" x14ac:dyDescent="0.3">
      <c r="A72" s="136"/>
      <c r="B72" s="41"/>
      <c r="C72" s="197" t="s">
        <v>16</v>
      </c>
      <c r="D72" s="397" t="s">
        <v>17</v>
      </c>
      <c r="E72" s="41"/>
      <c r="F72" s="41"/>
      <c r="G72" s="43"/>
      <c r="H72" s="139" t="s">
        <v>12</v>
      </c>
      <c r="I72" s="45"/>
      <c r="J72" s="45"/>
      <c r="K72" s="46"/>
      <c r="L72" s="140">
        <f ca="1">L73+L74</f>
        <v>0</v>
      </c>
      <c r="M72" s="140">
        <f ca="1">M73+M74</f>
        <v>80000</v>
      </c>
      <c r="N72" s="140">
        <f ca="1">N73+N74</f>
        <v>0</v>
      </c>
      <c r="O72" s="140">
        <f ca="1">IF(L72&gt;0,N72*100/L72,0)</f>
        <v>0</v>
      </c>
      <c r="P72" s="140">
        <f ca="1">IF(M72&gt;0,N72*100/M72,0)</f>
        <v>0</v>
      </c>
    </row>
    <row r="73" spans="1:16" ht="18.75" hidden="1" x14ac:dyDescent="0.25">
      <c r="A73" s="136"/>
      <c r="B73" s="41"/>
      <c r="C73" s="41"/>
      <c r="D73" s="41"/>
      <c r="E73" s="279" t="s">
        <v>18</v>
      </c>
      <c r="F73" s="41"/>
      <c r="G73" s="43"/>
      <c r="H73" s="141" t="s">
        <v>12</v>
      </c>
      <c r="I73" s="45"/>
      <c r="J73" s="45"/>
      <c r="K73" s="46"/>
      <c r="L73" s="50">
        <f>L76+L79</f>
        <v>0</v>
      </c>
      <c r="M73" s="50">
        <f>M76+M79</f>
        <v>0</v>
      </c>
      <c r="N73" s="50">
        <f>N76+N79</f>
        <v>0</v>
      </c>
      <c r="O73" s="50">
        <f>IF(L73&gt;0,N73*100/L73,0)</f>
        <v>0</v>
      </c>
      <c r="P73" s="50">
        <f>IF(M73&gt;0,N73*100/M73,0)</f>
        <v>0</v>
      </c>
    </row>
    <row r="74" spans="1:16" ht="18.75" hidden="1" x14ac:dyDescent="0.25">
      <c r="A74" s="136"/>
      <c r="B74" s="41"/>
      <c r="C74" s="41"/>
      <c r="D74" s="41"/>
      <c r="E74" s="254" t="s">
        <v>19</v>
      </c>
      <c r="F74" s="41"/>
      <c r="G74" s="43"/>
      <c r="H74" s="142" t="s">
        <v>12</v>
      </c>
      <c r="I74" s="45"/>
      <c r="J74" s="45"/>
      <c r="K74" s="46"/>
      <c r="L74" s="47">
        <f ca="1">L77+L80</f>
        <v>0</v>
      </c>
      <c r="M74" s="47">
        <f ca="1">M77+M80</f>
        <v>80000</v>
      </c>
      <c r="N74" s="47">
        <f ca="1">N77+N80</f>
        <v>0</v>
      </c>
      <c r="O74" s="47">
        <f ca="1">IF(L74&gt;0,N74*100/L74,0)</f>
        <v>0</v>
      </c>
      <c r="P74" s="47">
        <f ca="1">IF(M74&gt;0,N74*100/M74,0)</f>
        <v>0</v>
      </c>
    </row>
    <row r="75" spans="1:16" ht="18.75" hidden="1" x14ac:dyDescent="0.25">
      <c r="A75" s="136"/>
      <c r="B75" s="41"/>
      <c r="C75" s="41"/>
      <c r="D75" s="42" t="s">
        <v>20</v>
      </c>
      <c r="E75" s="41"/>
      <c r="F75" s="41"/>
      <c r="G75" s="43"/>
      <c r="H75" s="143" t="s">
        <v>12</v>
      </c>
      <c r="I75" s="144"/>
      <c r="J75" s="144"/>
      <c r="K75" s="145"/>
      <c r="L75" s="47">
        <f ca="1">L76+L77</f>
        <v>0</v>
      </c>
      <c r="M75" s="47">
        <f ca="1">M76+M77</f>
        <v>80000</v>
      </c>
      <c r="N75" s="47">
        <f ca="1">N76+N77</f>
        <v>0</v>
      </c>
      <c r="O75" s="47">
        <f ca="1">IF(L75&gt;0,N75*100/L75,0)</f>
        <v>0</v>
      </c>
      <c r="P75" s="47">
        <f ca="1">IF(M75&gt;0,N75*100/M75,0)</f>
        <v>0</v>
      </c>
    </row>
    <row r="76" spans="1:16" ht="18.75" hidden="1" x14ac:dyDescent="0.25">
      <c r="A76" s="136"/>
      <c r="B76" s="41"/>
      <c r="C76" s="41"/>
      <c r="D76" s="41"/>
      <c r="E76" s="279" t="s">
        <v>34</v>
      </c>
      <c r="F76" s="41"/>
      <c r="G76" s="43"/>
      <c r="H76" s="146" t="s">
        <v>12</v>
      </c>
      <c r="I76" s="144"/>
      <c r="J76" s="144"/>
      <c r="K76" s="145"/>
      <c r="L76" s="50">
        <v>0</v>
      </c>
      <c r="M76" s="50">
        <v>0</v>
      </c>
      <c r="N76" s="50">
        <v>0</v>
      </c>
      <c r="O76" s="50">
        <f>IF(L76&gt;0,N76*100/L76,0)</f>
        <v>0</v>
      </c>
      <c r="P76" s="50">
        <f>IF(M76&gt;0,N76*100/M76,0)</f>
        <v>0</v>
      </c>
    </row>
    <row r="77" spans="1:16" ht="18.75" hidden="1" x14ac:dyDescent="0.25">
      <c r="A77" s="136"/>
      <c r="B77" s="41"/>
      <c r="C77" s="41"/>
      <c r="D77" s="41"/>
      <c r="E77" s="254" t="s">
        <v>35</v>
      </c>
      <c r="F77" s="41"/>
      <c r="G77" s="43"/>
      <c r="H77" s="143" t="s">
        <v>12</v>
      </c>
      <c r="I77" s="144"/>
      <c r="J77" s="144"/>
      <c r="K77" s="145"/>
      <c r="L77" s="47">
        <f ca="1">IFERROR(__xludf.DUMMYFUNCTION("IMPORTRANGE(""https://docs.google.com/spreadsheets/d/1-uDff_7J0KD5mKrp0Vvzr7lt3OU09vwQwhkpOPPYv2Y/edit?usp=sharing"",""งบพรบ!AM16"")"),0)</f>
        <v>0</v>
      </c>
      <c r="M77" s="47">
        <f ca="1">IFERROR(__xludf.DUMMYFUNCTION("IMPORTRANGE(""https://docs.google.com/spreadsheets/d/1-uDff_7J0KD5mKrp0Vvzr7lt3OU09vwQwhkpOPPYv2Y/edit?usp=sharing"",""งบพรบ!AR16"")"),80000)</f>
        <v>80000</v>
      </c>
      <c r="N77" s="47">
        <f ca="1">IFERROR(__xludf.DUMMYFUNCTION("IMPORTRANGE(""https://docs.google.com/spreadsheets/d/1-uDff_7J0KD5mKrp0Vvzr7lt3OU09vwQwhkpOPPYv2Y/edit?usp=sharing"",""งบพรบ!AT16"")"),0)</f>
        <v>0</v>
      </c>
      <c r="O77" s="47">
        <f ca="1">IF(L77&gt;0,N77*100/L77,0)</f>
        <v>0</v>
      </c>
      <c r="P77" s="47">
        <f ca="1">IF(M77&gt;0,N77*100/M77,0)</f>
        <v>0</v>
      </c>
    </row>
    <row r="78" spans="1:16" ht="18.75" hidden="1" x14ac:dyDescent="0.25">
      <c r="A78" s="136"/>
      <c r="B78" s="41"/>
      <c r="C78" s="41"/>
      <c r="D78" s="42" t="s">
        <v>21</v>
      </c>
      <c r="E78" s="41"/>
      <c r="F78" s="41"/>
      <c r="G78" s="43"/>
      <c r="H78" s="147" t="s">
        <v>12</v>
      </c>
      <c r="I78" s="144"/>
      <c r="J78" s="144"/>
      <c r="K78" s="145"/>
      <c r="L78" s="47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</row>
    <row r="79" spans="1:16" ht="18.75" hidden="1" x14ac:dyDescent="0.25">
      <c r="A79" s="136"/>
      <c r="B79" s="41"/>
      <c r="C79" s="41"/>
      <c r="D79" s="41"/>
      <c r="E79" s="279" t="s">
        <v>18</v>
      </c>
      <c r="F79" s="41"/>
      <c r="G79" s="43"/>
      <c r="H79" s="146" t="s">
        <v>12</v>
      </c>
      <c r="I79" s="144"/>
      <c r="J79" s="144"/>
      <c r="K79" s="145"/>
      <c r="L79" s="50">
        <v>0</v>
      </c>
      <c r="M79" s="46"/>
      <c r="N79" s="46"/>
      <c r="O79" s="50">
        <f>IF(L79&gt;0,N79*100/L79,0)</f>
        <v>0</v>
      </c>
      <c r="P79" s="50">
        <f>IF(M79&gt;0,N79*100/M79,0)</f>
        <v>0</v>
      </c>
    </row>
    <row r="80" spans="1:16" ht="18.75" hidden="1" x14ac:dyDescent="0.25">
      <c r="A80" s="136"/>
      <c r="B80" s="41"/>
      <c r="C80" s="41"/>
      <c r="D80" s="41"/>
      <c r="E80" s="254" t="s">
        <v>19</v>
      </c>
      <c r="F80" s="41"/>
      <c r="G80" s="43"/>
      <c r="H80" s="147" t="s">
        <v>12</v>
      </c>
      <c r="I80" s="144"/>
      <c r="J80" s="144"/>
      <c r="K80" s="145"/>
      <c r="L80" s="47">
        <f ca="1">IFERROR(__xludf.DUMMYFUNCTION("IMPORTRANGE(""https://docs.google.com/spreadsheets/d/1-uDff_7J0KD5mKrp0Vvzr7lt3OU09vwQwhkpOPPYv2Y/edit?usp=sharing"",""งบพรบ!AP16"")"),0)</f>
        <v>0</v>
      </c>
      <c r="M80" s="47">
        <f ca="1">IFERROR(__xludf.DUMMYFUNCTION("IMPORTRANGE(""https://docs.google.com/spreadsheets/d/1-uDff_7J0KD5mKrp0Vvzr7lt3OU09vwQwhkpOPPYv2Y/edit?usp=sharing"",""งบพรบ!AS16"")"),0)</f>
        <v>0</v>
      </c>
      <c r="N80" s="47">
        <f ca="1">IFERROR(__xludf.DUMMYFUNCTION("IMPORTRANGE(""https://docs.google.com/spreadsheets/d/1-uDff_7J0KD5mKrp0Vvzr7lt3OU09vwQwhkpOPPYv2Y/edit?usp=sharing"",""งบพรบ!AU16"")"),0)</f>
        <v>0</v>
      </c>
      <c r="O80" s="47">
        <f ca="1">IF(L80&gt;0,N80*100/L80,0)</f>
        <v>0</v>
      </c>
      <c r="P80" s="47">
        <f ca="1">IF(M80&gt;0,N80*100/M80,0)</f>
        <v>0</v>
      </c>
    </row>
    <row r="81" spans="1:16" ht="19.5" hidden="1" x14ac:dyDescent="0.3">
      <c r="A81" s="148"/>
      <c r="B81" s="149"/>
      <c r="C81" s="197" t="s">
        <v>16</v>
      </c>
      <c r="D81" s="395" t="s">
        <v>36</v>
      </c>
      <c r="E81" s="151"/>
      <c r="F81" s="151"/>
      <c r="G81" s="152"/>
      <c r="H81" s="153"/>
      <c r="I81" s="144"/>
      <c r="J81" s="144"/>
      <c r="K81" s="145"/>
      <c r="L81" s="145"/>
      <c r="M81" s="145"/>
      <c r="N81" s="145"/>
      <c r="O81" s="145"/>
      <c r="P81" s="145"/>
    </row>
    <row r="82" spans="1:16" ht="19.5" hidden="1" x14ac:dyDescent="0.3">
      <c r="A82" s="148"/>
      <c r="B82" s="149"/>
      <c r="C82" s="149"/>
      <c r="D82" s="154" t="s">
        <v>37</v>
      </c>
      <c r="E82" s="155"/>
      <c r="F82" s="155"/>
      <c r="G82" s="153"/>
      <c r="H82" s="156" t="s">
        <v>32</v>
      </c>
      <c r="I82" s="157">
        <f ca="1">I84+I86+I88</f>
        <v>0</v>
      </c>
      <c r="J82" s="157">
        <f>J84+J86+J88</f>
        <v>0</v>
      </c>
      <c r="K82" s="158">
        <f ca="1">IF(I82&gt;0,J82*100/I82,0)</f>
        <v>0</v>
      </c>
      <c r="L82" s="145"/>
      <c r="M82" s="145"/>
      <c r="N82" s="145"/>
      <c r="O82" s="145"/>
      <c r="P82" s="145"/>
    </row>
    <row r="83" spans="1:16" ht="19.5" hidden="1" x14ac:dyDescent="0.3">
      <c r="A83" s="148"/>
      <c r="B83" s="149"/>
      <c r="C83" s="149"/>
      <c r="D83" s="149"/>
      <c r="E83" s="155"/>
      <c r="F83" s="155"/>
      <c r="G83" s="153"/>
      <c r="H83" s="156" t="s">
        <v>33</v>
      </c>
      <c r="I83" s="157">
        <f ca="1">I85+I87+I89</f>
        <v>0</v>
      </c>
      <c r="J83" s="157">
        <f>J85+J87+J89</f>
        <v>0</v>
      </c>
      <c r="K83" s="158">
        <f ca="1">IF(I83&gt;0,J83*100/I83,0)</f>
        <v>0</v>
      </c>
      <c r="L83" s="145"/>
      <c r="M83" s="145"/>
      <c r="N83" s="145"/>
      <c r="O83" s="145"/>
      <c r="P83" s="145"/>
    </row>
    <row r="84" spans="1:16" ht="18.75" hidden="1" x14ac:dyDescent="0.25">
      <c r="A84" s="148"/>
      <c r="B84" s="149"/>
      <c r="C84" s="149"/>
      <c r="D84" s="149"/>
      <c r="E84" s="159" t="s">
        <v>38</v>
      </c>
      <c r="F84" s="155"/>
      <c r="G84" s="153"/>
      <c r="H84" s="251" t="s">
        <v>32</v>
      </c>
      <c r="I84" s="161">
        <f ca="1">IFERROR(__xludf.DUMMYFUNCTION("IMPORTRANGE(""https://docs.google.com/spreadsheets/d/1eHaY18a8A9IcSdp1K8H6x8fbOy06t2VsZHhMHf-1x7Y/edit?usp=sharing"",""แผน!H16"")"),0)</f>
        <v>0</v>
      </c>
      <c r="J84" s="250">
        <v>0</v>
      </c>
      <c r="K84" s="163">
        <f ca="1">IF(I84&gt;0,J84*100/I84,0)</f>
        <v>0</v>
      </c>
      <c r="L84" s="145"/>
      <c r="M84" s="145"/>
      <c r="N84" s="145"/>
      <c r="O84" s="145"/>
      <c r="P84" s="145"/>
    </row>
    <row r="85" spans="1:16" ht="18.75" hidden="1" x14ac:dyDescent="0.25">
      <c r="A85" s="148"/>
      <c r="B85" s="149"/>
      <c r="C85" s="149"/>
      <c r="D85" s="149"/>
      <c r="E85" s="155"/>
      <c r="F85" s="155"/>
      <c r="G85" s="153"/>
      <c r="H85" s="251" t="s">
        <v>33</v>
      </c>
      <c r="I85" s="161">
        <f ca="1">IFERROR(__xludf.DUMMYFUNCTION("IMPORTRANGE(""https://docs.google.com/spreadsheets/d/1eHaY18a8A9IcSdp1K8H6x8fbOy06t2VsZHhMHf-1x7Y/edit?usp=sharing"",""แผน!I16"")"),0)</f>
        <v>0</v>
      </c>
      <c r="J85" s="250">
        <v>0</v>
      </c>
      <c r="K85" s="163">
        <f ca="1">IF(I85&gt;0,J85*100/I85,0)</f>
        <v>0</v>
      </c>
      <c r="L85" s="145"/>
      <c r="M85" s="145"/>
      <c r="N85" s="145"/>
      <c r="O85" s="145"/>
      <c r="P85" s="145"/>
    </row>
    <row r="86" spans="1:16" ht="18.75" hidden="1" x14ac:dyDescent="0.25">
      <c r="A86" s="148"/>
      <c r="B86" s="149"/>
      <c r="C86" s="149"/>
      <c r="D86" s="149"/>
      <c r="E86" s="159" t="s">
        <v>39</v>
      </c>
      <c r="F86" s="155"/>
      <c r="G86" s="153"/>
      <c r="H86" s="251" t="s">
        <v>32</v>
      </c>
      <c r="I86" s="161">
        <f ca="1">IFERROR(__xludf.DUMMYFUNCTION("IMPORTRANGE(""https://docs.google.com/spreadsheets/d/1eHaY18a8A9IcSdp1K8H6x8fbOy06t2VsZHhMHf-1x7Y/edit?usp=sharing"",""แผน!F16"")"),0)</f>
        <v>0</v>
      </c>
      <c r="J86" s="250">
        <v>0</v>
      </c>
      <c r="K86" s="163">
        <f ca="1">IF(I86&gt;0,J86*100/I86,0)</f>
        <v>0</v>
      </c>
      <c r="L86" s="145"/>
      <c r="M86" s="145"/>
      <c r="N86" s="145"/>
      <c r="O86" s="145"/>
      <c r="P86" s="145"/>
    </row>
    <row r="87" spans="1:16" ht="18.75" hidden="1" x14ac:dyDescent="0.25">
      <c r="A87" s="148"/>
      <c r="B87" s="149"/>
      <c r="C87" s="149"/>
      <c r="D87" s="149"/>
      <c r="E87" s="155"/>
      <c r="F87" s="155"/>
      <c r="G87" s="153"/>
      <c r="H87" s="251" t="s">
        <v>33</v>
      </c>
      <c r="I87" s="161">
        <f ca="1">IFERROR(__xludf.DUMMYFUNCTION("IMPORTRANGE(""https://docs.google.com/spreadsheets/d/1eHaY18a8A9IcSdp1K8H6x8fbOy06t2VsZHhMHf-1x7Y/edit?usp=sharing"",""แผน!G16"")"),0)</f>
        <v>0</v>
      </c>
      <c r="J87" s="250">
        <v>0</v>
      </c>
      <c r="K87" s="163">
        <f ca="1">IF(I87&gt;0,J87*100/I87,0)</f>
        <v>0</v>
      </c>
      <c r="L87" s="145"/>
      <c r="M87" s="145"/>
      <c r="N87" s="145"/>
      <c r="O87" s="145"/>
      <c r="P87" s="145"/>
    </row>
    <row r="88" spans="1:16" ht="18.75" hidden="1" x14ac:dyDescent="0.25">
      <c r="A88" s="148"/>
      <c r="B88" s="149"/>
      <c r="C88" s="149"/>
      <c r="D88" s="149"/>
      <c r="E88" s="159" t="s">
        <v>40</v>
      </c>
      <c r="F88" s="155"/>
      <c r="G88" s="153"/>
      <c r="H88" s="251" t="s">
        <v>32</v>
      </c>
      <c r="I88" s="161">
        <f ca="1">IFERROR(__xludf.DUMMYFUNCTION("IMPORTRANGE(""https://docs.google.com/spreadsheets/d/1eHaY18a8A9IcSdp1K8H6x8fbOy06t2VsZHhMHf-1x7Y/edit?usp=sharing"",""แผน!D16"")"),0)</f>
        <v>0</v>
      </c>
      <c r="J88" s="250">
        <v>0</v>
      </c>
      <c r="K88" s="163">
        <f ca="1">IF(I88&gt;0,J88*100/I88,0)</f>
        <v>0</v>
      </c>
      <c r="L88" s="145"/>
      <c r="M88" s="145"/>
      <c r="N88" s="145"/>
      <c r="O88" s="145"/>
      <c r="P88" s="145"/>
    </row>
    <row r="89" spans="1:16" ht="18.75" hidden="1" x14ac:dyDescent="0.25">
      <c r="A89" s="148"/>
      <c r="B89" s="149"/>
      <c r="C89" s="149"/>
      <c r="D89" s="149"/>
      <c r="E89" s="155"/>
      <c r="F89" s="155"/>
      <c r="G89" s="153"/>
      <c r="H89" s="251" t="s">
        <v>33</v>
      </c>
      <c r="I89" s="161">
        <f ca="1">IFERROR(__xludf.DUMMYFUNCTION("IMPORTRANGE(""https://docs.google.com/spreadsheets/d/1eHaY18a8A9IcSdp1K8H6x8fbOy06t2VsZHhMHf-1x7Y/edit?usp=sharing"",""แผน!E16"")"),0)</f>
        <v>0</v>
      </c>
      <c r="J89" s="250">
        <v>0</v>
      </c>
      <c r="K89" s="163">
        <f ca="1">IF(I89&gt;0,J89*100/I89,0)</f>
        <v>0</v>
      </c>
      <c r="L89" s="145"/>
      <c r="M89" s="145"/>
      <c r="N89" s="145"/>
      <c r="O89" s="145"/>
      <c r="P89" s="145"/>
    </row>
    <row r="90" spans="1:16" ht="18.75" hidden="1" x14ac:dyDescent="0.25">
      <c r="A90" s="148"/>
      <c r="B90" s="149"/>
      <c r="C90" s="149"/>
      <c r="D90" s="154" t="s">
        <v>41</v>
      </c>
      <c r="E90" s="155"/>
      <c r="F90" s="155"/>
      <c r="G90" s="153"/>
      <c r="H90" s="164" t="s">
        <v>32</v>
      </c>
      <c r="I90" s="161">
        <f ca="1">IFERROR(__xludf.DUMMYFUNCTION("IMPORTRANGE(""https://docs.google.com/spreadsheets/d/1eHaY18a8A9IcSdp1K8H6x8fbOy06t2VsZHhMHf-1x7Y/edit?usp=sharing"",""แผน!J16"")"),0)</f>
        <v>0</v>
      </c>
      <c r="J90" s="250">
        <v>0</v>
      </c>
      <c r="K90" s="163">
        <f ca="1">IF(I90&gt;0,J90*100/I90,0)</f>
        <v>0</v>
      </c>
      <c r="L90" s="145"/>
      <c r="M90" s="145"/>
      <c r="N90" s="145"/>
      <c r="O90" s="145"/>
      <c r="P90" s="145"/>
    </row>
    <row r="91" spans="1:16" ht="19.5" hidden="1" x14ac:dyDescent="0.3">
      <c r="A91" s="125" t="s">
        <v>42</v>
      </c>
      <c r="B91" s="126"/>
      <c r="C91" s="127"/>
      <c r="D91" s="126"/>
      <c r="E91" s="126"/>
      <c r="F91" s="126"/>
      <c r="G91" s="128"/>
      <c r="H91" s="128"/>
      <c r="I91" s="129"/>
      <c r="J91" s="129"/>
      <c r="K91" s="130"/>
      <c r="L91" s="130"/>
      <c r="M91" s="130"/>
      <c r="N91" s="130"/>
      <c r="O91" s="130"/>
      <c r="P91" s="130"/>
    </row>
    <row r="92" spans="1:16" ht="19.5" hidden="1" x14ac:dyDescent="0.3">
      <c r="A92" s="131"/>
      <c r="B92" s="132" t="s">
        <v>43</v>
      </c>
      <c r="C92" s="26"/>
      <c r="D92" s="133"/>
      <c r="E92" s="26"/>
      <c r="F92" s="26"/>
      <c r="G92" s="29"/>
      <c r="H92" s="134" t="s">
        <v>44</v>
      </c>
      <c r="I92" s="135">
        <f ca="1">I108</f>
        <v>0</v>
      </c>
      <c r="J92" s="135">
        <f>J108</f>
        <v>0</v>
      </c>
      <c r="K92" s="33">
        <f ca="1">IF(I92&gt;0,J92*100/I92,0)</f>
        <v>0</v>
      </c>
      <c r="L92" s="32"/>
      <c r="M92" s="32"/>
      <c r="N92" s="32"/>
      <c r="O92" s="32"/>
      <c r="P92" s="32"/>
    </row>
    <row r="93" spans="1:16" ht="19.5" hidden="1" x14ac:dyDescent="0.3">
      <c r="A93" s="131"/>
      <c r="B93" s="26"/>
      <c r="C93" s="26"/>
      <c r="D93" s="133"/>
      <c r="E93" s="26"/>
      <c r="F93" s="26"/>
      <c r="G93" s="29"/>
      <c r="H93" s="134" t="s">
        <v>33</v>
      </c>
      <c r="I93" s="135">
        <f ca="1">I109</f>
        <v>0</v>
      </c>
      <c r="J93" s="135">
        <f>J109</f>
        <v>0</v>
      </c>
      <c r="K93" s="33">
        <f ca="1">IF(I93&gt;0,J93*100/I93,0)</f>
        <v>0</v>
      </c>
      <c r="L93" s="32"/>
      <c r="M93" s="32"/>
      <c r="N93" s="32"/>
      <c r="O93" s="32"/>
      <c r="P93" s="32"/>
    </row>
    <row r="94" spans="1:16" ht="19.5" hidden="1" x14ac:dyDescent="0.3">
      <c r="A94" s="136"/>
      <c r="B94" s="41"/>
      <c r="C94" s="197" t="s">
        <v>16</v>
      </c>
      <c r="D94" s="397" t="s">
        <v>17</v>
      </c>
      <c r="E94" s="41"/>
      <c r="F94" s="41"/>
      <c r="G94" s="43"/>
      <c r="H94" s="139" t="s">
        <v>12</v>
      </c>
      <c r="I94" s="45"/>
      <c r="J94" s="45"/>
      <c r="K94" s="46"/>
      <c r="L94" s="140">
        <f ca="1">L95+L96</f>
        <v>0</v>
      </c>
      <c r="M94" s="140">
        <f ca="1">M95+M96</f>
        <v>0</v>
      </c>
      <c r="N94" s="140">
        <f ca="1">N95+N96</f>
        <v>0</v>
      </c>
      <c r="O94" s="140">
        <f ca="1">IF(L94&gt;0,N94*100/L94,0)</f>
        <v>0</v>
      </c>
      <c r="P94" s="140">
        <f ca="1">IF(M94&gt;0,N94*100/M94,0)</f>
        <v>0</v>
      </c>
    </row>
    <row r="95" spans="1:16" ht="18.75" hidden="1" x14ac:dyDescent="0.25">
      <c r="A95" s="136"/>
      <c r="B95" s="41"/>
      <c r="C95" s="41"/>
      <c r="D95" s="41"/>
      <c r="E95" s="279" t="s">
        <v>18</v>
      </c>
      <c r="F95" s="41"/>
      <c r="G95" s="43"/>
      <c r="H95" s="141" t="s">
        <v>12</v>
      </c>
      <c r="I95" s="45"/>
      <c r="J95" s="45"/>
      <c r="K95" s="46"/>
      <c r="L95" s="50">
        <f>L98+L101</f>
        <v>0</v>
      </c>
      <c r="M95" s="50">
        <f>M98+M101</f>
        <v>0</v>
      </c>
      <c r="N95" s="50">
        <f>N98+N101</f>
        <v>0</v>
      </c>
      <c r="O95" s="50">
        <f>IF(L95&gt;0,N95*100/L95,0)</f>
        <v>0</v>
      </c>
      <c r="P95" s="50">
        <f>IF(M95&gt;0,N95*100/M95,0)</f>
        <v>0</v>
      </c>
    </row>
    <row r="96" spans="1:16" ht="18.75" hidden="1" x14ac:dyDescent="0.25">
      <c r="A96" s="136"/>
      <c r="B96" s="41"/>
      <c r="C96" s="41"/>
      <c r="D96" s="41"/>
      <c r="E96" s="254" t="s">
        <v>19</v>
      </c>
      <c r="F96" s="41"/>
      <c r="G96" s="43"/>
      <c r="H96" s="142" t="s">
        <v>12</v>
      </c>
      <c r="I96" s="45"/>
      <c r="J96" s="45"/>
      <c r="K96" s="46"/>
      <c r="L96" s="47">
        <f ca="1">L99+L102</f>
        <v>0</v>
      </c>
      <c r="M96" s="47">
        <f ca="1">M99+M102</f>
        <v>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</row>
    <row r="97" spans="1:16" ht="18.75" hidden="1" x14ac:dyDescent="0.25">
      <c r="A97" s="136"/>
      <c r="B97" s="41"/>
      <c r="C97" s="41"/>
      <c r="D97" s="42" t="s">
        <v>20</v>
      </c>
      <c r="E97" s="41"/>
      <c r="F97" s="41"/>
      <c r="G97" s="43"/>
      <c r="H97" s="143" t="s">
        <v>12</v>
      </c>
      <c r="I97" s="144"/>
      <c r="J97" s="144"/>
      <c r="K97" s="145"/>
      <c r="L97" s="47">
        <f ca="1">L98+L99</f>
        <v>0</v>
      </c>
      <c r="M97" s="47">
        <f ca="1">M98+M99</f>
        <v>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</row>
    <row r="98" spans="1:16" ht="18.75" hidden="1" x14ac:dyDescent="0.25">
      <c r="A98" s="136"/>
      <c r="B98" s="41"/>
      <c r="C98" s="41"/>
      <c r="D98" s="41"/>
      <c r="E98" s="279" t="s">
        <v>34</v>
      </c>
      <c r="F98" s="41"/>
      <c r="G98" s="43"/>
      <c r="H98" s="146" t="s">
        <v>12</v>
      </c>
      <c r="I98" s="144"/>
      <c r="J98" s="144"/>
      <c r="K98" s="145"/>
      <c r="L98" s="50">
        <v>0</v>
      </c>
      <c r="M98" s="50">
        <v>0</v>
      </c>
      <c r="N98" s="50">
        <v>0</v>
      </c>
      <c r="O98" s="50">
        <f>IF(L98&gt;0,N98*100/L98,0)</f>
        <v>0</v>
      </c>
      <c r="P98" s="50">
        <f>IF(M98&gt;0,N98*100/M98,0)</f>
        <v>0</v>
      </c>
    </row>
    <row r="99" spans="1:16" ht="18.75" hidden="1" x14ac:dyDescent="0.25">
      <c r="A99" s="136"/>
      <c r="B99" s="41"/>
      <c r="C99" s="41"/>
      <c r="D99" s="41"/>
      <c r="E99" s="254" t="s">
        <v>35</v>
      </c>
      <c r="F99" s="41"/>
      <c r="G99" s="43"/>
      <c r="H99" s="143" t="s">
        <v>12</v>
      </c>
      <c r="I99" s="144"/>
      <c r="J99" s="144"/>
      <c r="K99" s="145"/>
      <c r="L99" s="47">
        <f ca="1">IFERROR(__xludf.DUMMYFUNCTION("IMPORTRANGE(""https://docs.google.com/spreadsheets/d/1-uDff_7J0KD5mKrp0Vvzr7lt3OU09vwQwhkpOPPYv2Y/edit?usp=sharing"",""งบพรบ!AW16"")"),0)</f>
        <v>0</v>
      </c>
      <c r="M99" s="47">
        <f ca="1">IFERROR(__xludf.DUMMYFUNCTION("IMPORTRANGE(""https://docs.google.com/spreadsheets/d/1-uDff_7J0KD5mKrp0Vvzr7lt3OU09vwQwhkpOPPYv2Y/edit?usp=sharing"",""งบพรบ!BB16"")"),0)</f>
        <v>0</v>
      </c>
      <c r="N99" s="47">
        <f ca="1">IFERROR(__xludf.DUMMYFUNCTION("IMPORTRANGE(""https://docs.google.com/spreadsheets/d/1-uDff_7J0KD5mKrp0Vvzr7lt3OU09vwQwhkpOPPYv2Y/edit?usp=sharing"",""งบพรบ!BD16"")"),0)</f>
        <v>0</v>
      </c>
      <c r="O99" s="47">
        <f ca="1">IF(L99&gt;0,N99*100/L99,0)</f>
        <v>0</v>
      </c>
      <c r="P99" s="47">
        <f ca="1">IF(M99&gt;0,N99*100/M99,0)</f>
        <v>0</v>
      </c>
    </row>
    <row r="100" spans="1:16" ht="18.75" hidden="1" x14ac:dyDescent="0.25">
      <c r="A100" s="136"/>
      <c r="B100" s="41"/>
      <c r="C100" s="41"/>
      <c r="D100" s="42" t="s">
        <v>21</v>
      </c>
      <c r="E100" s="41"/>
      <c r="F100" s="41"/>
      <c r="G100" s="43"/>
      <c r="H100" s="147" t="s">
        <v>12</v>
      </c>
      <c r="I100" s="144"/>
      <c r="J100" s="144"/>
      <c r="K100" s="145"/>
      <c r="L100" s="47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</row>
    <row r="101" spans="1:16" ht="18.75" hidden="1" x14ac:dyDescent="0.25">
      <c r="A101" s="136"/>
      <c r="B101" s="41"/>
      <c r="C101" s="41"/>
      <c r="D101" s="41"/>
      <c r="E101" s="279" t="s">
        <v>18</v>
      </c>
      <c r="F101" s="41"/>
      <c r="G101" s="43"/>
      <c r="H101" s="146" t="s">
        <v>12</v>
      </c>
      <c r="I101" s="144"/>
      <c r="J101" s="144"/>
      <c r="K101" s="145"/>
      <c r="L101" s="50">
        <v>0</v>
      </c>
      <c r="M101" s="50">
        <v>0</v>
      </c>
      <c r="N101" s="50">
        <v>0</v>
      </c>
      <c r="O101" s="50">
        <f>IF(L101&gt;0,N101*100/L101,0)</f>
        <v>0</v>
      </c>
      <c r="P101" s="50">
        <f>IF(M101&gt;0,N101*100/M101,0)</f>
        <v>0</v>
      </c>
    </row>
    <row r="102" spans="1:16" ht="18.75" hidden="1" x14ac:dyDescent="0.25">
      <c r="A102" s="136"/>
      <c r="B102" s="41"/>
      <c r="C102" s="41"/>
      <c r="D102" s="41"/>
      <c r="E102" s="254" t="s">
        <v>19</v>
      </c>
      <c r="F102" s="41"/>
      <c r="G102" s="43"/>
      <c r="H102" s="147" t="s">
        <v>12</v>
      </c>
      <c r="I102" s="144"/>
      <c r="J102" s="144"/>
      <c r="K102" s="145"/>
      <c r="L102" s="47">
        <f ca="1">IFERROR(__xludf.DUMMYFUNCTION("IMPORTRANGE(""https://docs.google.com/spreadsheets/d/1-uDff_7J0KD5mKrp0Vvzr7lt3OU09vwQwhkpOPPYv2Y/edit?usp=sharing"",""งบพรบ!AZ16"")"),0)</f>
        <v>0</v>
      </c>
      <c r="M102" s="47">
        <f ca="1">IFERROR(__xludf.DUMMYFUNCTION("IMPORTRANGE(""https://docs.google.com/spreadsheets/d/1-uDff_7J0KD5mKrp0Vvzr7lt3OU09vwQwhkpOPPYv2Y/edit?usp=sharing"",""งบพรบ!BC16"")"),0)</f>
        <v>0</v>
      </c>
      <c r="N102" s="47">
        <f ca="1">IFERROR(__xludf.DUMMYFUNCTION("IMPORTRANGE(""https://docs.google.com/spreadsheets/d/1-uDff_7J0KD5mKrp0Vvzr7lt3OU09vwQwhkpOPPYv2Y/edit?usp=sharing"",""งบพรบ!BE16"")"),0)</f>
        <v>0</v>
      </c>
      <c r="O102" s="47">
        <f ca="1">IF(L102&gt;0,N102*100/L102,0)</f>
        <v>0</v>
      </c>
      <c r="P102" s="47">
        <f ca="1">IF(M102&gt;0,N102*100/M102,0)</f>
        <v>0</v>
      </c>
    </row>
    <row r="103" spans="1:16" ht="19.5" hidden="1" x14ac:dyDescent="0.3">
      <c r="A103" s="148"/>
      <c r="B103" s="149"/>
      <c r="C103" s="197" t="s">
        <v>16</v>
      </c>
      <c r="D103" s="395" t="s">
        <v>36</v>
      </c>
      <c r="E103" s="151"/>
      <c r="F103" s="151"/>
      <c r="G103" s="152"/>
      <c r="H103" s="153"/>
      <c r="I103" s="144"/>
      <c r="J103" s="45"/>
      <c r="K103" s="46"/>
      <c r="L103" s="46"/>
      <c r="M103" s="46"/>
      <c r="N103" s="46"/>
      <c r="O103" s="145"/>
      <c r="P103" s="145"/>
    </row>
    <row r="104" spans="1:16" ht="12.75" hidden="1" x14ac:dyDescent="0.2">
      <c r="A104" s="165"/>
      <c r="B104" s="166"/>
      <c r="C104" s="166"/>
      <c r="D104" s="16"/>
      <c r="E104" s="16"/>
      <c r="F104" s="16"/>
      <c r="G104" s="17"/>
      <c r="H104" s="17"/>
      <c r="I104" s="18"/>
      <c r="J104" s="18"/>
      <c r="K104" s="19"/>
      <c r="L104" s="19"/>
      <c r="M104" s="19"/>
      <c r="N104" s="19"/>
      <c r="O104" s="19"/>
      <c r="P104" s="19"/>
    </row>
    <row r="105" spans="1:16" ht="12.75" hidden="1" x14ac:dyDescent="0.2">
      <c r="A105" s="165"/>
      <c r="B105" s="166"/>
      <c r="C105" s="166"/>
      <c r="D105" s="16"/>
      <c r="E105" s="16"/>
      <c r="F105" s="16"/>
      <c r="G105" s="17"/>
      <c r="H105" s="17"/>
      <c r="I105" s="18"/>
      <c r="J105" s="18"/>
      <c r="K105" s="19"/>
      <c r="L105" s="19"/>
      <c r="M105" s="19"/>
      <c r="N105" s="19"/>
      <c r="O105" s="19"/>
      <c r="P105" s="19"/>
    </row>
    <row r="106" spans="1:16" ht="12.75" hidden="1" x14ac:dyDescent="0.2">
      <c r="A106" s="165"/>
      <c r="B106" s="166"/>
      <c r="C106" s="166"/>
      <c r="D106" s="166"/>
      <c r="E106" s="16"/>
      <c r="F106" s="16"/>
      <c r="G106" s="17"/>
      <c r="H106" s="17"/>
      <c r="I106" s="18"/>
      <c r="J106" s="18"/>
      <c r="K106" s="19"/>
      <c r="L106" s="19"/>
      <c r="M106" s="19"/>
      <c r="N106" s="19"/>
      <c r="O106" s="19"/>
      <c r="P106" s="19"/>
    </row>
    <row r="107" spans="1:16" ht="19.5" hidden="1" x14ac:dyDescent="0.3">
      <c r="A107" s="148"/>
      <c r="B107" s="149"/>
      <c r="C107" s="149"/>
      <c r="D107" s="167" t="s">
        <v>45</v>
      </c>
      <c r="E107" s="168"/>
      <c r="F107" s="155"/>
      <c r="G107" s="153"/>
      <c r="H107" s="43"/>
      <c r="I107" s="45"/>
      <c r="J107" s="45"/>
      <c r="K107" s="46"/>
      <c r="L107" s="46"/>
      <c r="M107" s="46"/>
      <c r="N107" s="46"/>
      <c r="O107" s="145"/>
      <c r="P107" s="145"/>
    </row>
    <row r="108" spans="1:16" ht="18.75" hidden="1" x14ac:dyDescent="0.25">
      <c r="A108" s="148"/>
      <c r="B108" s="149"/>
      <c r="C108" s="149"/>
      <c r="D108" s="159" t="s">
        <v>46</v>
      </c>
      <c r="E108" s="155"/>
      <c r="F108" s="155"/>
      <c r="G108" s="153"/>
      <c r="H108" s="44" t="s">
        <v>44</v>
      </c>
      <c r="I108" s="169">
        <f ca="1">IFERROR(__xludf.DUMMYFUNCTION("IMPORTRANGE(""https://docs.google.com/spreadsheets/d/1eHaY18a8A9IcSdp1K8H6x8fbOy06t2VsZHhMHf-1x7Y/edit?usp=sharing"",""แผน!N16"")"),0)</f>
        <v>0</v>
      </c>
      <c r="J108" s="250">
        <v>0</v>
      </c>
      <c r="K108" s="47">
        <f ca="1">IF(I108&gt;0,J108*100/I108,0)</f>
        <v>0</v>
      </c>
      <c r="L108" s="46"/>
      <c r="M108" s="46"/>
      <c r="N108" s="46"/>
      <c r="O108" s="145"/>
      <c r="P108" s="145"/>
    </row>
    <row r="109" spans="1:16" ht="18.75" hidden="1" x14ac:dyDescent="0.25">
      <c r="A109" s="148"/>
      <c r="B109" s="149"/>
      <c r="C109" s="149"/>
      <c r="D109" s="159" t="s">
        <v>47</v>
      </c>
      <c r="E109" s="155"/>
      <c r="F109" s="155"/>
      <c r="G109" s="153"/>
      <c r="H109" s="44" t="s">
        <v>33</v>
      </c>
      <c r="I109" s="169">
        <f ca="1">IFERROR(__xludf.DUMMYFUNCTION("IMPORTRANGE(""https://docs.google.com/spreadsheets/d/1eHaY18a8A9IcSdp1K8H6x8fbOy06t2VsZHhMHf-1x7Y/edit?usp=sharing"",""แผน!O16"")"),0)</f>
        <v>0</v>
      </c>
      <c r="J109" s="250">
        <v>0</v>
      </c>
      <c r="K109" s="47">
        <f ca="1">IF(I109&gt;0,J109*100/I109,0)</f>
        <v>0</v>
      </c>
      <c r="L109" s="46"/>
      <c r="M109" s="46"/>
      <c r="N109" s="46"/>
      <c r="O109" s="145"/>
      <c r="P109" s="145"/>
    </row>
    <row r="110" spans="1:16" ht="12.75" hidden="1" x14ac:dyDescent="0.2">
      <c r="A110" s="165"/>
      <c r="B110" s="166"/>
      <c r="C110" s="166"/>
      <c r="D110" s="16"/>
      <c r="E110" s="16"/>
      <c r="F110" s="16"/>
      <c r="G110" s="17"/>
      <c r="H110" s="17"/>
      <c r="I110" s="18"/>
      <c r="J110" s="18"/>
      <c r="K110" s="19"/>
      <c r="L110" s="19"/>
      <c r="M110" s="19"/>
      <c r="N110" s="19"/>
      <c r="O110" s="19"/>
      <c r="P110" s="19"/>
    </row>
    <row r="111" spans="1:16" ht="12.75" hidden="1" x14ac:dyDescent="0.2">
      <c r="A111" s="165"/>
      <c r="B111" s="166"/>
      <c r="C111" s="166"/>
      <c r="D111" s="16"/>
      <c r="E111" s="16"/>
      <c r="F111" s="16"/>
      <c r="G111" s="17"/>
      <c r="H111" s="17"/>
      <c r="I111" s="18"/>
      <c r="J111" s="18"/>
      <c r="K111" s="19"/>
      <c r="L111" s="19"/>
      <c r="M111" s="19"/>
      <c r="N111" s="19"/>
      <c r="O111" s="19"/>
      <c r="P111" s="19"/>
    </row>
    <row r="112" spans="1:16" ht="12.75" hidden="1" x14ac:dyDescent="0.2">
      <c r="A112" s="165"/>
      <c r="B112" s="166"/>
      <c r="C112" s="166"/>
      <c r="D112" s="16"/>
      <c r="E112" s="16"/>
      <c r="F112" s="16"/>
      <c r="G112" s="17"/>
      <c r="H112" s="17"/>
      <c r="I112" s="18"/>
      <c r="J112" s="18"/>
      <c r="K112" s="19"/>
      <c r="L112" s="19"/>
      <c r="M112" s="19"/>
      <c r="N112" s="19"/>
      <c r="O112" s="19"/>
      <c r="P112" s="19"/>
    </row>
    <row r="113" spans="1:16" ht="12.75" hidden="1" x14ac:dyDescent="0.2">
      <c r="A113" s="165"/>
      <c r="B113" s="166"/>
      <c r="C113" s="166"/>
      <c r="D113" s="16"/>
      <c r="E113" s="16"/>
      <c r="F113" s="16"/>
      <c r="G113" s="17"/>
      <c r="H113" s="17"/>
      <c r="I113" s="18"/>
      <c r="J113" s="18"/>
      <c r="K113" s="19"/>
      <c r="L113" s="19"/>
      <c r="M113" s="19"/>
      <c r="N113" s="19"/>
      <c r="O113" s="19"/>
      <c r="P113" s="19"/>
    </row>
    <row r="114" spans="1:16" ht="12.75" hidden="1" x14ac:dyDescent="0.2">
      <c r="A114" s="165"/>
      <c r="B114" s="166"/>
      <c r="C114" s="166"/>
      <c r="D114" s="16"/>
      <c r="E114" s="16"/>
      <c r="F114" s="16"/>
      <c r="G114" s="17"/>
      <c r="H114" s="17"/>
      <c r="I114" s="18"/>
      <c r="J114" s="18"/>
      <c r="K114" s="19"/>
      <c r="L114" s="19"/>
      <c r="M114" s="19"/>
      <c r="N114" s="19"/>
      <c r="O114" s="19"/>
      <c r="P114" s="19"/>
    </row>
    <row r="115" spans="1:16" ht="12.75" hidden="1" x14ac:dyDescent="0.2">
      <c r="A115" s="165"/>
      <c r="B115" s="166"/>
      <c r="C115" s="166"/>
      <c r="D115" s="16"/>
      <c r="E115" s="16"/>
      <c r="F115" s="16"/>
      <c r="G115" s="17"/>
      <c r="H115" s="17"/>
      <c r="I115" s="18"/>
      <c r="J115" s="18"/>
      <c r="K115" s="19"/>
      <c r="L115" s="19"/>
      <c r="M115" s="19"/>
      <c r="N115" s="19"/>
      <c r="O115" s="19"/>
      <c r="P115" s="19"/>
    </row>
    <row r="116" spans="1:16" ht="12.75" hidden="1" x14ac:dyDescent="0.2">
      <c r="A116" s="165"/>
      <c r="B116" s="166"/>
      <c r="C116" s="166"/>
      <c r="D116" s="16"/>
      <c r="E116" s="16"/>
      <c r="F116" s="16"/>
      <c r="G116" s="17"/>
      <c r="H116" s="17"/>
      <c r="I116" s="18"/>
      <c r="J116" s="18"/>
      <c r="K116" s="19"/>
      <c r="L116" s="19"/>
      <c r="M116" s="19"/>
      <c r="N116" s="19"/>
      <c r="O116" s="19"/>
      <c r="P116" s="19"/>
    </row>
    <row r="117" spans="1:16" ht="18.75" hidden="1" x14ac:dyDescent="0.25">
      <c r="A117" s="148"/>
      <c r="B117" s="149"/>
      <c r="C117" s="149"/>
      <c r="D117" s="159" t="s">
        <v>48</v>
      </c>
      <c r="E117" s="155"/>
      <c r="F117" s="155"/>
      <c r="G117" s="153"/>
      <c r="H117" s="251" t="s">
        <v>33</v>
      </c>
      <c r="I117" s="161">
        <f ca="1">IFERROR(__xludf.DUMMYFUNCTION("IMPORTRANGE(""https://docs.google.com/spreadsheets/d/1eHaY18a8A9IcSdp1K8H6x8fbOy06t2VsZHhMHf-1x7Y/edit?usp=sharing"",""แผน!R16"")"),0)</f>
        <v>0</v>
      </c>
      <c r="J117" s="250">
        <v>0</v>
      </c>
      <c r="K117" s="47">
        <f ca="1">IF(I117&gt;0,J117*100/I117,0)</f>
        <v>0</v>
      </c>
      <c r="L117" s="46"/>
      <c r="M117" s="46"/>
      <c r="N117" s="46"/>
      <c r="O117" s="145"/>
      <c r="P117" s="145"/>
    </row>
    <row r="118" spans="1:16" ht="12.75" hidden="1" x14ac:dyDescent="0.2">
      <c r="A118" s="165"/>
      <c r="B118" s="166"/>
      <c r="C118" s="166"/>
      <c r="D118" s="166"/>
      <c r="E118" s="16"/>
      <c r="F118" s="16"/>
      <c r="G118" s="17"/>
      <c r="H118" s="17"/>
      <c r="I118" s="18"/>
      <c r="J118" s="18"/>
      <c r="K118" s="19"/>
      <c r="L118" s="19"/>
      <c r="M118" s="19"/>
      <c r="N118" s="19"/>
      <c r="O118" s="19"/>
      <c r="P118" s="19"/>
    </row>
    <row r="119" spans="1:16" ht="12.75" hidden="1" x14ac:dyDescent="0.2">
      <c r="A119" s="165"/>
      <c r="B119" s="166"/>
      <c r="C119" s="166"/>
      <c r="D119" s="166"/>
      <c r="E119" s="16"/>
      <c r="F119" s="16"/>
      <c r="G119" s="17"/>
      <c r="H119" s="17"/>
      <c r="I119" s="18"/>
      <c r="J119" s="18"/>
      <c r="K119" s="19"/>
      <c r="L119" s="19"/>
      <c r="M119" s="19"/>
      <c r="N119" s="19"/>
      <c r="O119" s="19"/>
      <c r="P119" s="19"/>
    </row>
    <row r="120" spans="1:16" ht="12.75" hidden="1" x14ac:dyDescent="0.2">
      <c r="A120" s="165"/>
      <c r="B120" s="166"/>
      <c r="C120" s="166"/>
      <c r="D120" s="166"/>
      <c r="E120" s="16"/>
      <c r="F120" s="16"/>
      <c r="G120" s="17"/>
      <c r="H120" s="17"/>
      <c r="I120" s="18"/>
      <c r="J120" s="18"/>
      <c r="K120" s="19"/>
      <c r="L120" s="19"/>
      <c r="M120" s="19"/>
      <c r="N120" s="19"/>
      <c r="O120" s="19"/>
      <c r="P120" s="19"/>
    </row>
    <row r="121" spans="1:16" ht="12.75" hidden="1" x14ac:dyDescent="0.2">
      <c r="A121" s="165"/>
      <c r="B121" s="166"/>
      <c r="C121" s="166"/>
      <c r="D121" s="166"/>
      <c r="E121" s="16"/>
      <c r="F121" s="16"/>
      <c r="G121" s="17"/>
      <c r="H121" s="17"/>
      <c r="I121" s="18"/>
      <c r="J121" s="18"/>
      <c r="K121" s="19"/>
      <c r="L121" s="19"/>
      <c r="M121" s="19"/>
      <c r="N121" s="19"/>
      <c r="O121" s="19"/>
      <c r="P121" s="19"/>
    </row>
    <row r="122" spans="1:16" ht="12.75" hidden="1" x14ac:dyDescent="0.2">
      <c r="A122" s="165"/>
      <c r="B122" s="166"/>
      <c r="C122" s="166"/>
      <c r="D122" s="166"/>
      <c r="E122" s="16"/>
      <c r="F122" s="16"/>
      <c r="G122" s="17"/>
      <c r="H122" s="17"/>
      <c r="I122" s="18"/>
      <c r="J122" s="18"/>
      <c r="K122" s="19"/>
      <c r="L122" s="19"/>
      <c r="M122" s="19"/>
      <c r="N122" s="19"/>
      <c r="O122" s="19"/>
      <c r="P122" s="19"/>
    </row>
    <row r="123" spans="1:16" ht="19.5" hidden="1" x14ac:dyDescent="0.3">
      <c r="A123" s="170" t="s">
        <v>49</v>
      </c>
      <c r="B123" s="16"/>
      <c r="C123" s="171"/>
      <c r="D123" s="16"/>
      <c r="E123" s="16"/>
      <c r="F123" s="16"/>
      <c r="G123" s="16"/>
      <c r="H123" s="16"/>
      <c r="I123" s="172"/>
      <c r="J123" s="172"/>
      <c r="K123" s="173"/>
      <c r="L123" s="19"/>
      <c r="M123" s="19"/>
      <c r="N123" s="19"/>
      <c r="O123" s="19"/>
      <c r="P123" s="19"/>
    </row>
    <row r="124" spans="1:16" ht="19.5" hidden="1" x14ac:dyDescent="0.3">
      <c r="A124" s="174"/>
      <c r="B124" s="178" t="s">
        <v>50</v>
      </c>
      <c r="C124" s="171"/>
      <c r="D124" s="166"/>
      <c r="E124" s="16"/>
      <c r="F124" s="16"/>
      <c r="G124" s="17"/>
      <c r="H124" s="17"/>
      <c r="I124" s="176">
        <v>0</v>
      </c>
      <c r="J124" s="176">
        <v>0</v>
      </c>
      <c r="K124" s="177">
        <v>0</v>
      </c>
      <c r="L124" s="19"/>
      <c r="M124" s="19"/>
      <c r="N124" s="19"/>
      <c r="O124" s="19"/>
      <c r="P124" s="19"/>
    </row>
    <row r="125" spans="1:16" ht="19.5" hidden="1" x14ac:dyDescent="0.3">
      <c r="A125" s="174"/>
      <c r="B125" s="16"/>
      <c r="C125" s="178" t="s">
        <v>16</v>
      </c>
      <c r="D125" s="402" t="s">
        <v>17</v>
      </c>
      <c r="E125" s="16"/>
      <c r="F125" s="16"/>
      <c r="G125" s="17"/>
      <c r="H125" s="180" t="s">
        <v>12</v>
      </c>
      <c r="I125" s="18"/>
      <c r="J125" s="18"/>
      <c r="K125" s="19"/>
      <c r="L125" s="181">
        <f ca="1">L126+L127</f>
        <v>0</v>
      </c>
      <c r="M125" s="181">
        <f ca="1">M126+M127</f>
        <v>0</v>
      </c>
      <c r="N125" s="181">
        <f ca="1">N126+N127</f>
        <v>0</v>
      </c>
      <c r="O125" s="181">
        <f ca="1">IF(L125&gt;0,N125*100/L125,0)</f>
        <v>0</v>
      </c>
      <c r="P125" s="181">
        <f ca="1">IF(M125&gt;0,N125*100/M125,0)</f>
        <v>0</v>
      </c>
    </row>
    <row r="126" spans="1:16" ht="18.75" hidden="1" x14ac:dyDescent="0.25">
      <c r="A126" s="174"/>
      <c r="B126" s="16"/>
      <c r="C126" s="16"/>
      <c r="D126" s="16"/>
      <c r="E126" s="182" t="s">
        <v>18</v>
      </c>
      <c r="F126" s="16"/>
      <c r="G126" s="17"/>
      <c r="H126" s="183" t="s">
        <v>12</v>
      </c>
      <c r="I126" s="18"/>
      <c r="J126" s="18"/>
      <c r="K126" s="19"/>
      <c r="L126" s="184">
        <f>L129+L132</f>
        <v>0</v>
      </c>
      <c r="M126" s="184">
        <f>M129+M132</f>
        <v>0</v>
      </c>
      <c r="N126" s="184">
        <f>N129+N132</f>
        <v>0</v>
      </c>
      <c r="O126" s="184">
        <f>IF(L126&gt;0,N126*100/L126,0)</f>
        <v>0</v>
      </c>
      <c r="P126" s="184">
        <f>IF(M126&gt;0,N126*100/M126,0)</f>
        <v>0</v>
      </c>
    </row>
    <row r="127" spans="1:16" ht="18.75" hidden="1" x14ac:dyDescent="0.25">
      <c r="A127" s="174"/>
      <c r="B127" s="16"/>
      <c r="C127" s="16"/>
      <c r="D127" s="16"/>
      <c r="E127" s="185" t="s">
        <v>19</v>
      </c>
      <c r="F127" s="16"/>
      <c r="G127" s="17"/>
      <c r="H127" s="186" t="s">
        <v>12</v>
      </c>
      <c r="I127" s="18"/>
      <c r="J127" s="18"/>
      <c r="K127" s="19"/>
      <c r="L127" s="177">
        <f ca="1">L130+L133</f>
        <v>0</v>
      </c>
      <c r="M127" s="177">
        <f ca="1">M130+M133</f>
        <v>0</v>
      </c>
      <c r="N127" s="177">
        <f ca="1">N130+N133</f>
        <v>0</v>
      </c>
      <c r="O127" s="177">
        <f ca="1">IF(L127&gt;0,N127*100/L127,0)</f>
        <v>0</v>
      </c>
      <c r="P127" s="177">
        <f ca="1">IF(M127&gt;0,N127*100/M127,0)</f>
        <v>0</v>
      </c>
    </row>
    <row r="128" spans="1:16" ht="18.75" hidden="1" x14ac:dyDescent="0.25">
      <c r="A128" s="174"/>
      <c r="B128" s="16"/>
      <c r="C128" s="16"/>
      <c r="D128" s="401" t="s">
        <v>20</v>
      </c>
      <c r="E128" s="16"/>
      <c r="F128" s="16"/>
      <c r="G128" s="17"/>
      <c r="H128" s="188" t="s">
        <v>12</v>
      </c>
      <c r="I128" s="18"/>
      <c r="J128" s="18"/>
      <c r="K128" s="19"/>
      <c r="L128" s="177">
        <f ca="1">L129+L130</f>
        <v>0</v>
      </c>
      <c r="M128" s="177">
        <f ca="1">M129+M130</f>
        <v>0</v>
      </c>
      <c r="N128" s="177">
        <f ca="1">N129+N130</f>
        <v>0</v>
      </c>
      <c r="O128" s="177">
        <f ca="1">IF(L128&gt;0,N128*100/L128,0)</f>
        <v>0</v>
      </c>
      <c r="P128" s="177">
        <f ca="1">IF(M128&gt;0,N128*100/M128,0)</f>
        <v>0</v>
      </c>
    </row>
    <row r="129" spans="1:16" ht="18.75" hidden="1" x14ac:dyDescent="0.25">
      <c r="A129" s="174"/>
      <c r="B129" s="16"/>
      <c r="C129" s="16"/>
      <c r="D129" s="16"/>
      <c r="E129" s="182" t="s">
        <v>34</v>
      </c>
      <c r="F129" s="16"/>
      <c r="G129" s="17"/>
      <c r="H129" s="189" t="s">
        <v>12</v>
      </c>
      <c r="I129" s="18"/>
      <c r="J129" s="18"/>
      <c r="K129" s="19"/>
      <c r="L129" s="184">
        <v>0</v>
      </c>
      <c r="M129" s="184">
        <v>0</v>
      </c>
      <c r="N129" s="184">
        <v>0</v>
      </c>
      <c r="O129" s="184">
        <f>IF(L129&gt;0,N129*100/L129,0)</f>
        <v>0</v>
      </c>
      <c r="P129" s="184">
        <f>IF(M129&gt;0,N129*100/M129,0)</f>
        <v>0</v>
      </c>
    </row>
    <row r="130" spans="1:16" ht="18.75" hidden="1" x14ac:dyDescent="0.25">
      <c r="A130" s="174"/>
      <c r="B130" s="16"/>
      <c r="C130" s="16"/>
      <c r="D130" s="16"/>
      <c r="E130" s="185" t="s">
        <v>35</v>
      </c>
      <c r="F130" s="16"/>
      <c r="G130" s="17"/>
      <c r="H130" s="188" t="s">
        <v>12</v>
      </c>
      <c r="I130" s="18"/>
      <c r="J130" s="18"/>
      <c r="K130" s="19"/>
      <c r="L130" s="177">
        <f ca="1">IFERROR(__xludf.DUMMYFUNCTION("IMPORTRANGE(""https://docs.google.com/spreadsheets/d/1-uDff_7J0KD5mKrp0Vvzr7lt3OU09vwQwhkpOPPYv2Y/edit?usp=sharing"",""งบพรบ!BG16"")"),0)</f>
        <v>0</v>
      </c>
      <c r="M130" s="177">
        <f ca="1">IFERROR(__xludf.DUMMYFUNCTION("IMPORTRANGE(""https://docs.google.com/spreadsheets/d/1-uDff_7J0KD5mKrp0Vvzr7lt3OU09vwQwhkpOPPYv2Y/edit?usp=sharing"",""งบพรบ!BL16"")"),0)</f>
        <v>0</v>
      </c>
      <c r="N130" s="177">
        <f ca="1">IFERROR(__xludf.DUMMYFUNCTION("IMPORTRANGE(""https://docs.google.com/spreadsheets/d/1-uDff_7J0KD5mKrp0Vvzr7lt3OU09vwQwhkpOPPYv2Y/edit?usp=sharing"",""งบพรบ!BN16"")"),0)</f>
        <v>0</v>
      </c>
      <c r="O130" s="177">
        <f ca="1">IF(L130&gt;0,N130*100/L130,0)</f>
        <v>0</v>
      </c>
      <c r="P130" s="177">
        <f ca="1">IF(M130&gt;0,N130*100/M130,0)</f>
        <v>0</v>
      </c>
    </row>
    <row r="131" spans="1:16" ht="18.75" hidden="1" x14ac:dyDescent="0.25">
      <c r="A131" s="174"/>
      <c r="B131" s="16"/>
      <c r="C131" s="16"/>
      <c r="D131" s="401" t="s">
        <v>21</v>
      </c>
      <c r="E131" s="16"/>
      <c r="F131" s="16"/>
      <c r="G131" s="17"/>
      <c r="H131" s="186" t="s">
        <v>12</v>
      </c>
      <c r="I131" s="18"/>
      <c r="J131" s="18"/>
      <c r="K131" s="19"/>
      <c r="L131" s="177">
        <f ca="1">L132+L133</f>
        <v>0</v>
      </c>
      <c r="M131" s="177">
        <f ca="1">M132+M133</f>
        <v>0</v>
      </c>
      <c r="N131" s="177">
        <f ca="1">N132+N133</f>
        <v>0</v>
      </c>
      <c r="O131" s="177">
        <f ca="1">IF(L131&gt;0,N131*100/L131,0)</f>
        <v>0</v>
      </c>
      <c r="P131" s="177">
        <f ca="1">IF(M131&gt;0,N131*100/M131,0)</f>
        <v>0</v>
      </c>
    </row>
    <row r="132" spans="1:16" ht="18.75" hidden="1" x14ac:dyDescent="0.25">
      <c r="A132" s="174"/>
      <c r="B132" s="16"/>
      <c r="C132" s="16"/>
      <c r="D132" s="16"/>
      <c r="E132" s="182" t="s">
        <v>18</v>
      </c>
      <c r="F132" s="16"/>
      <c r="G132" s="17"/>
      <c r="H132" s="189" t="s">
        <v>12</v>
      </c>
      <c r="I132" s="18"/>
      <c r="J132" s="18"/>
      <c r="K132" s="19"/>
      <c r="L132" s="184">
        <v>0</v>
      </c>
      <c r="M132" s="184">
        <v>0</v>
      </c>
      <c r="N132" s="184">
        <v>0</v>
      </c>
      <c r="O132" s="184">
        <f>IF(L132&gt;0,N132*100/L132,0)</f>
        <v>0</v>
      </c>
      <c r="P132" s="184">
        <f>IF(M132&gt;0,N132*100/M132,0)</f>
        <v>0</v>
      </c>
    </row>
    <row r="133" spans="1:16" ht="18.75" hidden="1" x14ac:dyDescent="0.25">
      <c r="A133" s="174"/>
      <c r="B133" s="16"/>
      <c r="C133" s="16"/>
      <c r="D133" s="16"/>
      <c r="E133" s="185" t="s">
        <v>19</v>
      </c>
      <c r="F133" s="16"/>
      <c r="G133" s="17"/>
      <c r="H133" s="186" t="s">
        <v>12</v>
      </c>
      <c r="I133" s="18"/>
      <c r="J133" s="18"/>
      <c r="K133" s="19"/>
      <c r="L133" s="177">
        <f ca="1">IFERROR(__xludf.DUMMYFUNCTION("IMPORTRANGE(""https://docs.google.com/spreadsheets/d/1-uDff_7J0KD5mKrp0Vvzr7lt3OU09vwQwhkpOPPYv2Y/edit?usp=sharing"",""งบพรบ!BJ16"")"),0)</f>
        <v>0</v>
      </c>
      <c r="M133" s="177">
        <f ca="1">IFERROR(__xludf.DUMMYFUNCTION("IMPORTRANGE(""https://docs.google.com/spreadsheets/d/1-uDff_7J0KD5mKrp0Vvzr7lt3OU09vwQwhkpOPPYv2Y/edit?usp=sharing"",""งบพรบ!BM16"")"),0)</f>
        <v>0</v>
      </c>
      <c r="N133" s="177">
        <f ca="1">IFERROR(__xludf.DUMMYFUNCTION("IMPORTRANGE(""https://docs.google.com/spreadsheets/d/1-uDff_7J0KD5mKrp0Vvzr7lt3OU09vwQwhkpOPPYv2Y/edit?usp=sharing"",""งบพรบ!BO16"")"),0)</f>
        <v>0</v>
      </c>
      <c r="O133" s="177">
        <f ca="1">IF(L133&gt;0,N133*100/L133,0)</f>
        <v>0</v>
      </c>
      <c r="P133" s="177">
        <f ca="1">IF(M133&gt;0,N133*100/M133,0)</f>
        <v>0</v>
      </c>
    </row>
    <row r="134" spans="1:16" ht="19.5" x14ac:dyDescent="0.3">
      <c r="A134" s="125" t="s">
        <v>51</v>
      </c>
      <c r="B134" s="126"/>
      <c r="C134" s="190"/>
      <c r="D134" s="126"/>
      <c r="E134" s="126"/>
      <c r="F134" s="126"/>
      <c r="G134" s="126"/>
      <c r="H134" s="126"/>
      <c r="I134" s="191"/>
      <c r="J134" s="191"/>
      <c r="K134" s="192"/>
      <c r="L134" s="130"/>
      <c r="M134" s="130"/>
      <c r="N134" s="130"/>
      <c r="O134" s="130"/>
      <c r="P134" s="130"/>
    </row>
    <row r="135" spans="1:16" ht="19.5" x14ac:dyDescent="0.3">
      <c r="A135" s="131"/>
      <c r="B135" s="132" t="s">
        <v>52</v>
      </c>
      <c r="C135" s="193"/>
      <c r="D135" s="133"/>
      <c r="E135" s="26"/>
      <c r="F135" s="26"/>
      <c r="G135" s="26"/>
      <c r="H135" s="26"/>
      <c r="I135" s="194"/>
      <c r="J135" s="31"/>
      <c r="K135" s="32"/>
      <c r="L135" s="32"/>
      <c r="M135" s="32"/>
      <c r="N135" s="32"/>
      <c r="O135" s="32"/>
      <c r="P135" s="32"/>
    </row>
    <row r="136" spans="1:16" ht="19.5" x14ac:dyDescent="0.3">
      <c r="A136" s="131"/>
      <c r="B136" s="26"/>
      <c r="C136" s="195" t="s">
        <v>53</v>
      </c>
      <c r="D136" s="133"/>
      <c r="E136" s="26"/>
      <c r="F136" s="26"/>
      <c r="G136" s="29"/>
      <c r="H136" s="134" t="s">
        <v>54</v>
      </c>
      <c r="I136" s="135">
        <f ca="1">I154</f>
        <v>1</v>
      </c>
      <c r="J136" s="135">
        <f>J154</f>
        <v>0</v>
      </c>
      <c r="K136" s="33">
        <f ca="1">IF(I136&gt;0,J136*100/I136,0)</f>
        <v>0</v>
      </c>
      <c r="L136" s="32"/>
      <c r="M136" s="32"/>
      <c r="N136" s="32"/>
      <c r="O136" s="32"/>
      <c r="P136" s="32"/>
    </row>
    <row r="137" spans="1:16" ht="19.5" x14ac:dyDescent="0.3">
      <c r="A137" s="131"/>
      <c r="B137" s="26"/>
      <c r="C137" s="195" t="s">
        <v>55</v>
      </c>
      <c r="D137" s="133"/>
      <c r="E137" s="26"/>
      <c r="F137" s="26"/>
      <c r="G137" s="29"/>
      <c r="H137" s="134" t="s">
        <v>33</v>
      </c>
      <c r="I137" s="135">
        <f ca="1">I152</f>
        <v>20</v>
      </c>
      <c r="J137" s="135">
        <f>J152</f>
        <v>0</v>
      </c>
      <c r="K137" s="33">
        <f ca="1">IF(I137&gt;0,J137*100/I137,0)</f>
        <v>0</v>
      </c>
      <c r="L137" s="32"/>
      <c r="M137" s="32"/>
      <c r="N137" s="32"/>
      <c r="O137" s="32"/>
      <c r="P137" s="32"/>
    </row>
    <row r="138" spans="1:16" ht="19.5" x14ac:dyDescent="0.3">
      <c r="A138" s="131"/>
      <c r="B138" s="26"/>
      <c r="C138" s="193"/>
      <c r="D138" s="133"/>
      <c r="E138" s="26"/>
      <c r="F138" s="26"/>
      <c r="G138" s="29"/>
      <c r="H138" s="134" t="s">
        <v>56</v>
      </c>
      <c r="I138" s="135">
        <f ca="1">I153</f>
        <v>2</v>
      </c>
      <c r="J138" s="135">
        <f>J153</f>
        <v>0</v>
      </c>
      <c r="K138" s="33">
        <f ca="1">IF(I138&gt;0,J138*100/I138,0)</f>
        <v>0</v>
      </c>
      <c r="L138" s="32"/>
      <c r="M138" s="32"/>
      <c r="N138" s="32"/>
      <c r="O138" s="32"/>
      <c r="P138" s="32"/>
    </row>
    <row r="139" spans="1:16" ht="19.5" x14ac:dyDescent="0.3">
      <c r="A139" s="136"/>
      <c r="B139" s="41"/>
      <c r="C139" s="197" t="s">
        <v>16</v>
      </c>
      <c r="D139" s="397" t="s">
        <v>17</v>
      </c>
      <c r="E139" s="41"/>
      <c r="F139" s="41"/>
      <c r="G139" s="43"/>
      <c r="H139" s="139" t="s">
        <v>12</v>
      </c>
      <c r="I139" s="45"/>
      <c r="J139" s="45"/>
      <c r="K139" s="46"/>
      <c r="L139" s="140">
        <f ca="1">L140+L141</f>
        <v>137700</v>
      </c>
      <c r="M139" s="140">
        <f ca="1">M140+M141</f>
        <v>107900</v>
      </c>
      <c r="N139" s="140">
        <f ca="1">N140+N141</f>
        <v>51473</v>
      </c>
      <c r="O139" s="140">
        <f ca="1">IF(L139&gt;0,N139*100/L139,0)</f>
        <v>37.380537400145244</v>
      </c>
      <c r="P139" s="140">
        <f ca="1">IF(M139&gt;0,N139*100/M139,0)</f>
        <v>47.704355885078776</v>
      </c>
    </row>
    <row r="140" spans="1:16" ht="18.75" hidden="1" x14ac:dyDescent="0.25">
      <c r="A140" s="136"/>
      <c r="B140" s="41"/>
      <c r="C140" s="41"/>
      <c r="D140" s="41"/>
      <c r="E140" s="279" t="s">
        <v>18</v>
      </c>
      <c r="F140" s="41"/>
      <c r="G140" s="43"/>
      <c r="H140" s="141" t="s">
        <v>12</v>
      </c>
      <c r="I140" s="45"/>
      <c r="J140" s="45"/>
      <c r="K140" s="46"/>
      <c r="L140" s="50">
        <f>L143+L146</f>
        <v>0</v>
      </c>
      <c r="M140" s="50">
        <f>M143+M146</f>
        <v>0</v>
      </c>
      <c r="N140" s="50">
        <f>N143+N146</f>
        <v>0</v>
      </c>
      <c r="O140" s="50">
        <f>IF(L140&gt;0,N140*100/L140,0)</f>
        <v>0</v>
      </c>
      <c r="P140" s="50">
        <f>IF(M140&gt;0,N140*100/M140,0)</f>
        <v>0</v>
      </c>
    </row>
    <row r="141" spans="1:16" ht="18.75" x14ac:dyDescent="0.25">
      <c r="A141" s="136"/>
      <c r="B141" s="41"/>
      <c r="C141" s="41"/>
      <c r="D141" s="41"/>
      <c r="E141" s="254" t="s">
        <v>19</v>
      </c>
      <c r="F141" s="41"/>
      <c r="G141" s="43"/>
      <c r="H141" s="142" t="s">
        <v>12</v>
      </c>
      <c r="I141" s="45"/>
      <c r="J141" s="45"/>
      <c r="K141" s="46"/>
      <c r="L141" s="47">
        <f ca="1">L144+L147</f>
        <v>137700</v>
      </c>
      <c r="M141" s="47">
        <f ca="1">M144+M147</f>
        <v>107900</v>
      </c>
      <c r="N141" s="47">
        <f ca="1">N144+N147</f>
        <v>51473</v>
      </c>
      <c r="O141" s="47">
        <f ca="1">IF(L141&gt;0,N141*100/L141,0)</f>
        <v>37.380537400145244</v>
      </c>
      <c r="P141" s="47">
        <f ca="1">IF(M141&gt;0,N141*100/M141,0)</f>
        <v>47.704355885078776</v>
      </c>
    </row>
    <row r="142" spans="1:16" ht="18.75" x14ac:dyDescent="0.25">
      <c r="A142" s="136"/>
      <c r="B142" s="41"/>
      <c r="C142" s="41"/>
      <c r="D142" s="42" t="s">
        <v>20</v>
      </c>
      <c r="E142" s="41"/>
      <c r="F142" s="41"/>
      <c r="G142" s="43"/>
      <c r="H142" s="143" t="s">
        <v>12</v>
      </c>
      <c r="I142" s="144"/>
      <c r="J142" s="144"/>
      <c r="K142" s="145"/>
      <c r="L142" s="47">
        <f ca="1">L143+L144</f>
        <v>137700</v>
      </c>
      <c r="M142" s="47">
        <f ca="1">M143+M144</f>
        <v>107900</v>
      </c>
      <c r="N142" s="47">
        <f ca="1">N143+N144</f>
        <v>51473</v>
      </c>
      <c r="O142" s="47">
        <f ca="1">IF(L142&gt;0,N142*100/L142,0)</f>
        <v>37.380537400145244</v>
      </c>
      <c r="P142" s="47">
        <f ca="1">IF(M142&gt;0,N142*100/M142,0)</f>
        <v>47.704355885078776</v>
      </c>
    </row>
    <row r="143" spans="1:16" ht="18.75" hidden="1" x14ac:dyDescent="0.25">
      <c r="A143" s="136"/>
      <c r="B143" s="41"/>
      <c r="C143" s="41"/>
      <c r="D143" s="41"/>
      <c r="E143" s="279" t="s">
        <v>34</v>
      </c>
      <c r="F143" s="41"/>
      <c r="G143" s="43"/>
      <c r="H143" s="146" t="s">
        <v>12</v>
      </c>
      <c r="I143" s="144"/>
      <c r="J143" s="144"/>
      <c r="K143" s="145"/>
      <c r="L143" s="50">
        <v>0</v>
      </c>
      <c r="M143" s="50">
        <v>0</v>
      </c>
      <c r="N143" s="50">
        <v>0</v>
      </c>
      <c r="O143" s="50">
        <f>IF(L143&gt;0,N143*100/L143,0)</f>
        <v>0</v>
      </c>
      <c r="P143" s="50">
        <f>IF(M143&gt;0,N143*100/M143,0)</f>
        <v>0</v>
      </c>
    </row>
    <row r="144" spans="1:16" ht="18.75" x14ac:dyDescent="0.25">
      <c r="A144" s="136"/>
      <c r="B144" s="41"/>
      <c r="C144" s="41"/>
      <c r="D144" s="41"/>
      <c r="E144" s="254" t="s">
        <v>35</v>
      </c>
      <c r="F144" s="41"/>
      <c r="G144" s="43"/>
      <c r="H144" s="143" t="s">
        <v>12</v>
      </c>
      <c r="I144" s="144"/>
      <c r="J144" s="144"/>
      <c r="K144" s="145"/>
      <c r="L144" s="47">
        <f ca="1">IFERROR(__xludf.DUMMYFUNCTION("IMPORTRANGE(""https://docs.google.com/spreadsheets/d/1-uDff_7J0KD5mKrp0Vvzr7lt3OU09vwQwhkpOPPYv2Y/edit?usp=sharing"",""งบพรบ!BQ16"")"),137700)</f>
        <v>137700</v>
      </c>
      <c r="M144" s="47">
        <f ca="1">IFERROR(__xludf.DUMMYFUNCTION("IMPORTRANGE(""https://docs.google.com/spreadsheets/d/1-uDff_7J0KD5mKrp0Vvzr7lt3OU09vwQwhkpOPPYv2Y/edit?usp=sharing"",""งบพรบ!BV16"")"),107900)</f>
        <v>107900</v>
      </c>
      <c r="N144" s="47">
        <f ca="1">IFERROR(__xludf.DUMMYFUNCTION("IMPORTRANGE(""https://docs.google.com/spreadsheets/d/1-uDff_7J0KD5mKrp0Vvzr7lt3OU09vwQwhkpOPPYv2Y/edit?usp=sharing"",""งบพรบ!BX16"")"),51473)</f>
        <v>51473</v>
      </c>
      <c r="O144" s="47">
        <f ca="1">IF(L144&gt;0,N144*100/L144,0)</f>
        <v>37.380537400145244</v>
      </c>
      <c r="P144" s="47">
        <f ca="1">IF(M144&gt;0,N144*100/M144,0)</f>
        <v>47.704355885078776</v>
      </c>
    </row>
    <row r="145" spans="1:16" ht="18.75" x14ac:dyDescent="0.25">
      <c r="A145" s="136"/>
      <c r="B145" s="41"/>
      <c r="C145" s="41"/>
      <c r="D145" s="42" t="s">
        <v>21</v>
      </c>
      <c r="E145" s="41"/>
      <c r="F145" s="41"/>
      <c r="G145" s="43"/>
      <c r="H145" s="147" t="s">
        <v>12</v>
      </c>
      <c r="I145" s="144"/>
      <c r="J145" s="144"/>
      <c r="K145" s="145"/>
      <c r="L145" s="47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</row>
    <row r="146" spans="1:16" ht="18.75" hidden="1" x14ac:dyDescent="0.25">
      <c r="A146" s="136"/>
      <c r="B146" s="41"/>
      <c r="C146" s="41"/>
      <c r="D146" s="41"/>
      <c r="E146" s="279" t="s">
        <v>18</v>
      </c>
      <c r="F146" s="41"/>
      <c r="G146" s="43"/>
      <c r="H146" s="146" t="s">
        <v>12</v>
      </c>
      <c r="I146" s="144"/>
      <c r="J146" s="144"/>
      <c r="K146" s="145"/>
      <c r="L146" s="50">
        <v>0</v>
      </c>
      <c r="M146" s="50">
        <v>0</v>
      </c>
      <c r="N146" s="50">
        <v>0</v>
      </c>
      <c r="O146" s="50">
        <f>IF(L146&gt;0,N146*100/L146,0)</f>
        <v>0</v>
      </c>
      <c r="P146" s="50">
        <f>IF(M146&gt;0,N146*100/M146,0)</f>
        <v>0</v>
      </c>
    </row>
    <row r="147" spans="1:16" ht="18.75" x14ac:dyDescent="0.25">
      <c r="A147" s="136"/>
      <c r="B147" s="41"/>
      <c r="C147" s="41"/>
      <c r="D147" s="41"/>
      <c r="E147" s="254" t="s">
        <v>19</v>
      </c>
      <c r="F147" s="41"/>
      <c r="G147" s="43"/>
      <c r="H147" s="147" t="s">
        <v>12</v>
      </c>
      <c r="I147" s="144"/>
      <c r="J147" s="144"/>
      <c r="K147" s="145"/>
      <c r="L147" s="47">
        <f ca="1">IFERROR(__xludf.DUMMYFUNCTION("IMPORTRANGE(""https://docs.google.com/spreadsheets/d/1-uDff_7J0KD5mKrp0Vvzr7lt3OU09vwQwhkpOPPYv2Y/edit?usp=sharing"",""งบพรบ!BT16"")"),0)</f>
        <v>0</v>
      </c>
      <c r="M147" s="47">
        <f ca="1">IFERROR(__xludf.DUMMYFUNCTION("IMPORTRANGE(""https://docs.google.com/spreadsheets/d/1-uDff_7J0KD5mKrp0Vvzr7lt3OU09vwQwhkpOPPYv2Y/edit?usp=sharing"",""งบพรบ!BW16"")"),0)</f>
        <v>0</v>
      </c>
      <c r="N147" s="47">
        <f ca="1">IFERROR(__xludf.DUMMYFUNCTION("IMPORTRANGE(""https://docs.google.com/spreadsheets/d/1-uDff_7J0KD5mKrp0Vvzr7lt3OU09vwQwhkpOPPYv2Y/edit?usp=sharing"",""งบพรบ!BY16"")"),0)</f>
        <v>0</v>
      </c>
      <c r="O147" s="47">
        <f ca="1">IF(L147&gt;0,N147*100/L147,0)</f>
        <v>0</v>
      </c>
      <c r="P147" s="47">
        <f ca="1">IF(M147&gt;0,N147*100/M147,0)</f>
        <v>0</v>
      </c>
    </row>
    <row r="148" spans="1:16" ht="19.5" x14ac:dyDescent="0.3">
      <c r="A148" s="148"/>
      <c r="B148" s="149"/>
      <c r="C148" s="197" t="s">
        <v>16</v>
      </c>
      <c r="D148" s="395" t="s">
        <v>36</v>
      </c>
      <c r="E148" s="151"/>
      <c r="F148" s="151"/>
      <c r="G148" s="152"/>
      <c r="H148" s="196"/>
      <c r="I148" s="45"/>
      <c r="J148" s="45"/>
      <c r="K148" s="46"/>
      <c r="L148" s="46"/>
      <c r="M148" s="46"/>
      <c r="N148" s="46"/>
      <c r="O148" s="46"/>
      <c r="P148" s="46"/>
    </row>
    <row r="149" spans="1:16" ht="18.75" x14ac:dyDescent="0.25">
      <c r="A149" s="136"/>
      <c r="B149" s="41"/>
      <c r="C149" s="41"/>
      <c r="D149" s="254" t="s">
        <v>57</v>
      </c>
      <c r="E149" s="41"/>
      <c r="F149" s="41"/>
      <c r="G149" s="43"/>
      <c r="H149" s="196"/>
      <c r="I149" s="45"/>
      <c r="J149" s="250">
        <v>0</v>
      </c>
      <c r="K149" s="46"/>
      <c r="L149" s="46"/>
      <c r="M149" s="46"/>
      <c r="N149" s="46"/>
      <c r="O149" s="46"/>
      <c r="P149" s="46"/>
    </row>
    <row r="150" spans="1:16" ht="19.5" x14ac:dyDescent="0.3">
      <c r="A150" s="136"/>
      <c r="B150" s="41"/>
      <c r="C150" s="41"/>
      <c r="D150" s="155"/>
      <c r="E150" s="197" t="s">
        <v>58</v>
      </c>
      <c r="F150" s="41"/>
      <c r="G150" s="43"/>
      <c r="H150" s="147" t="s">
        <v>33</v>
      </c>
      <c r="I150" s="169">
        <f ca="1">IFERROR(__xludf.DUMMYFUNCTION("IMPORTRANGE(""https://docs.google.com/spreadsheets/d/1eHaY18a8A9IcSdp1K8H6x8fbOy06t2VsZHhMHf-1x7Y/edit?usp=sharing"",""แผน!U16"")"),10)</f>
        <v>10</v>
      </c>
      <c r="J150" s="250">
        <v>0</v>
      </c>
      <c r="K150" s="47">
        <f ca="1">IF(I150&gt;0,J150*100/I150,0)</f>
        <v>0</v>
      </c>
      <c r="L150" s="46"/>
      <c r="M150" s="46"/>
      <c r="N150" s="46"/>
      <c r="O150" s="46"/>
      <c r="P150" s="46"/>
    </row>
    <row r="151" spans="1:16" ht="18.75" x14ac:dyDescent="0.25">
      <c r="A151" s="136"/>
      <c r="B151" s="41"/>
      <c r="C151" s="41"/>
      <c r="D151" s="155"/>
      <c r="E151" s="41"/>
      <c r="F151" s="41"/>
      <c r="G151" s="43"/>
      <c r="H151" s="147" t="s">
        <v>56</v>
      </c>
      <c r="I151" s="169">
        <f ca="1">IFERROR(__xludf.DUMMYFUNCTION("IMPORTRANGE(""https://docs.google.com/spreadsheets/d/1eHaY18a8A9IcSdp1K8H6x8fbOy06t2VsZHhMHf-1x7Y/edit?usp=sharing"",""แผน!V16"")"),1)</f>
        <v>1</v>
      </c>
      <c r="J151" s="250">
        <v>0</v>
      </c>
      <c r="K151" s="47">
        <f ca="1">IF(I151&gt;0,J151*100/I151,0)</f>
        <v>0</v>
      </c>
      <c r="L151" s="46"/>
      <c r="M151" s="46"/>
      <c r="N151" s="46"/>
      <c r="O151" s="46"/>
      <c r="P151" s="46"/>
    </row>
    <row r="152" spans="1:16" ht="19.5" x14ac:dyDescent="0.3">
      <c r="A152" s="136"/>
      <c r="B152" s="41"/>
      <c r="C152" s="41"/>
      <c r="D152" s="155"/>
      <c r="E152" s="197" t="s">
        <v>59</v>
      </c>
      <c r="F152" s="41"/>
      <c r="G152" s="43"/>
      <c r="H152" s="147" t="s">
        <v>33</v>
      </c>
      <c r="I152" s="169">
        <f ca="1">IFERROR(__xludf.DUMMYFUNCTION("IMPORTRANGE(""https://docs.google.com/spreadsheets/d/1eHaY18a8A9IcSdp1K8H6x8fbOy06t2VsZHhMHf-1x7Y/edit?usp=sharing"",""แผน!W16"")"),20)</f>
        <v>20</v>
      </c>
      <c r="J152" s="250">
        <v>0</v>
      </c>
      <c r="K152" s="47">
        <f ca="1">IF(I152&gt;0,J152*100/I152,0)</f>
        <v>0</v>
      </c>
      <c r="L152" s="46"/>
      <c r="M152" s="46"/>
      <c r="N152" s="46"/>
      <c r="O152" s="46"/>
      <c r="P152" s="46"/>
    </row>
    <row r="153" spans="1:16" ht="18.75" x14ac:dyDescent="0.25">
      <c r="A153" s="136"/>
      <c r="B153" s="41"/>
      <c r="C153" s="41"/>
      <c r="D153" s="41"/>
      <c r="E153" s="41"/>
      <c r="F153" s="41"/>
      <c r="G153" s="43"/>
      <c r="H153" s="147" t="s">
        <v>56</v>
      </c>
      <c r="I153" s="169">
        <f ca="1">IFERROR(__xludf.DUMMYFUNCTION("IMPORTRANGE(""https://docs.google.com/spreadsheets/d/1eHaY18a8A9IcSdp1K8H6x8fbOy06t2VsZHhMHf-1x7Y/edit?usp=sharing"",""แผน!X16"")"),2)</f>
        <v>2</v>
      </c>
      <c r="J153" s="250">
        <v>0</v>
      </c>
      <c r="K153" s="47">
        <f ca="1">IF(I153&gt;0,J153*100/I153,0)</f>
        <v>0</v>
      </c>
      <c r="L153" s="46"/>
      <c r="M153" s="46"/>
      <c r="N153" s="46"/>
      <c r="O153" s="46"/>
      <c r="P153" s="46"/>
    </row>
    <row r="154" spans="1:16" ht="18.75" x14ac:dyDescent="0.25">
      <c r="A154" s="136"/>
      <c r="B154" s="41"/>
      <c r="C154" s="41"/>
      <c r="D154" s="254" t="s">
        <v>60</v>
      </c>
      <c r="E154" s="41"/>
      <c r="F154" s="41"/>
      <c r="G154" s="43"/>
      <c r="H154" s="147" t="s">
        <v>54</v>
      </c>
      <c r="I154" s="169">
        <f ca="1">IFERROR(__xludf.DUMMYFUNCTION("IMPORTRANGE(""https://docs.google.com/spreadsheets/d/1eHaY18a8A9IcSdp1K8H6x8fbOy06t2VsZHhMHf-1x7Y/edit?usp=sharing"",""แผน!Y16"")"),1)</f>
        <v>1</v>
      </c>
      <c r="J154" s="250">
        <v>0</v>
      </c>
      <c r="K154" s="47">
        <f ca="1">IF(I154&gt;0,J154*100/I154,0)</f>
        <v>0</v>
      </c>
      <c r="L154" s="46"/>
      <c r="M154" s="46"/>
      <c r="N154" s="46"/>
      <c r="O154" s="46"/>
      <c r="P154" s="46"/>
    </row>
    <row r="155" spans="1:16" ht="19.5" hidden="1" x14ac:dyDescent="0.3">
      <c r="A155" s="125" t="s">
        <v>61</v>
      </c>
      <c r="B155" s="126"/>
      <c r="C155" s="190"/>
      <c r="D155" s="126"/>
      <c r="E155" s="126"/>
      <c r="F155" s="126"/>
      <c r="G155" s="126"/>
      <c r="H155" s="126"/>
      <c r="I155" s="191"/>
      <c r="J155" s="191"/>
      <c r="K155" s="192"/>
      <c r="L155" s="130"/>
      <c r="M155" s="130"/>
      <c r="N155" s="130"/>
      <c r="O155" s="130"/>
      <c r="P155" s="130"/>
    </row>
    <row r="156" spans="1:16" ht="19.5" hidden="1" x14ac:dyDescent="0.3">
      <c r="A156" s="131"/>
      <c r="B156" s="132" t="s">
        <v>62</v>
      </c>
      <c r="C156" s="26"/>
      <c r="D156" s="26"/>
      <c r="E156" s="26"/>
      <c r="F156" s="26"/>
      <c r="G156" s="29"/>
      <c r="H156" s="198" t="s">
        <v>33</v>
      </c>
      <c r="I156" s="135">
        <f ca="1">I169</f>
        <v>0</v>
      </c>
      <c r="J156" s="135">
        <f>J169</f>
        <v>0</v>
      </c>
      <c r="K156" s="33">
        <f ca="1">IF(I156&gt;0,J156*100/I156,0)</f>
        <v>0</v>
      </c>
      <c r="L156" s="32"/>
      <c r="M156" s="32"/>
      <c r="N156" s="32"/>
      <c r="O156" s="32"/>
      <c r="P156" s="32"/>
    </row>
    <row r="157" spans="1:16" ht="19.5" hidden="1" x14ac:dyDescent="0.3">
      <c r="A157" s="136"/>
      <c r="B157" s="41"/>
      <c r="C157" s="197" t="s">
        <v>16</v>
      </c>
      <c r="D157" s="397" t="s">
        <v>17</v>
      </c>
      <c r="E157" s="41"/>
      <c r="F157" s="41"/>
      <c r="G157" s="43"/>
      <c r="H157" s="139" t="s">
        <v>12</v>
      </c>
      <c r="I157" s="45"/>
      <c r="J157" s="45"/>
      <c r="K157" s="46"/>
      <c r="L157" s="140">
        <f ca="1">L158+L159</f>
        <v>0</v>
      </c>
      <c r="M157" s="140">
        <f ca="1">M158+M159</f>
        <v>0</v>
      </c>
      <c r="N157" s="140">
        <f ca="1">N158+N159</f>
        <v>0</v>
      </c>
      <c r="O157" s="140">
        <f ca="1">IF(L157&gt;0,N157*100/L157,0)</f>
        <v>0</v>
      </c>
      <c r="P157" s="140">
        <f ca="1">IF(M157&gt;0,N157*100/M157,0)</f>
        <v>0</v>
      </c>
    </row>
    <row r="158" spans="1:16" ht="18.75" hidden="1" x14ac:dyDescent="0.25">
      <c r="A158" s="136"/>
      <c r="B158" s="41"/>
      <c r="C158" s="41"/>
      <c r="D158" s="41"/>
      <c r="E158" s="279" t="s">
        <v>18</v>
      </c>
      <c r="F158" s="41"/>
      <c r="G158" s="43"/>
      <c r="H158" s="141" t="s">
        <v>12</v>
      </c>
      <c r="I158" s="45"/>
      <c r="J158" s="45"/>
      <c r="K158" s="46"/>
      <c r="L158" s="50">
        <f>L161+L164</f>
        <v>0</v>
      </c>
      <c r="M158" s="50">
        <f>M161+M164</f>
        <v>0</v>
      </c>
      <c r="N158" s="50">
        <f>N161+N164</f>
        <v>0</v>
      </c>
      <c r="O158" s="50">
        <f>IF(L158&gt;0,N158*100/L158,0)</f>
        <v>0</v>
      </c>
      <c r="P158" s="50">
        <f>IF(M158&gt;0,N158*100/M158,0)</f>
        <v>0</v>
      </c>
    </row>
    <row r="159" spans="1:16" ht="18.75" hidden="1" x14ac:dyDescent="0.25">
      <c r="A159" s="136"/>
      <c r="B159" s="41"/>
      <c r="C159" s="41"/>
      <c r="D159" s="41"/>
      <c r="E159" s="254" t="s">
        <v>19</v>
      </c>
      <c r="F159" s="41"/>
      <c r="G159" s="43"/>
      <c r="H159" s="142" t="s">
        <v>12</v>
      </c>
      <c r="I159" s="45"/>
      <c r="J159" s="45"/>
      <c r="K159" s="46"/>
      <c r="L159" s="47">
        <f ca="1">L162+L165</f>
        <v>0</v>
      </c>
      <c r="M159" s="47">
        <f ca="1">M162+M165</f>
        <v>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</row>
    <row r="160" spans="1:16" ht="18.75" hidden="1" x14ac:dyDescent="0.25">
      <c r="A160" s="136"/>
      <c r="B160" s="41"/>
      <c r="C160" s="41"/>
      <c r="D160" s="42" t="s">
        <v>20</v>
      </c>
      <c r="E160" s="41"/>
      <c r="F160" s="41"/>
      <c r="G160" s="43"/>
      <c r="H160" s="143" t="s">
        <v>12</v>
      </c>
      <c r="I160" s="144"/>
      <c r="J160" s="144"/>
      <c r="K160" s="145"/>
      <c r="L160" s="47">
        <f ca="1">L161+L162</f>
        <v>0</v>
      </c>
      <c r="M160" s="47">
        <f ca="1">M161+M162</f>
        <v>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</row>
    <row r="161" spans="1:16" ht="18.75" hidden="1" x14ac:dyDescent="0.25">
      <c r="A161" s="136"/>
      <c r="B161" s="41"/>
      <c r="C161" s="41"/>
      <c r="D161" s="41"/>
      <c r="E161" s="279" t="s">
        <v>34</v>
      </c>
      <c r="F161" s="41"/>
      <c r="G161" s="43"/>
      <c r="H161" s="146" t="s">
        <v>12</v>
      </c>
      <c r="I161" s="144"/>
      <c r="J161" s="144"/>
      <c r="K161" s="145"/>
      <c r="L161" s="50">
        <v>0</v>
      </c>
      <c r="M161" s="50">
        <v>0</v>
      </c>
      <c r="N161" s="50">
        <v>0</v>
      </c>
      <c r="O161" s="50">
        <f>IF(L161&gt;0,N161*100/L161,0)</f>
        <v>0</v>
      </c>
      <c r="P161" s="50">
        <f>IF(M161&gt;0,N161*100/M161,0)</f>
        <v>0</v>
      </c>
    </row>
    <row r="162" spans="1:16" ht="18.75" hidden="1" x14ac:dyDescent="0.25">
      <c r="A162" s="136"/>
      <c r="B162" s="41"/>
      <c r="C162" s="41"/>
      <c r="D162" s="41"/>
      <c r="E162" s="254" t="s">
        <v>35</v>
      </c>
      <c r="F162" s="41"/>
      <c r="G162" s="43"/>
      <c r="H162" s="143" t="s">
        <v>12</v>
      </c>
      <c r="I162" s="144"/>
      <c r="J162" s="144"/>
      <c r="K162" s="145"/>
      <c r="L162" s="47">
        <f ca="1">IFERROR(__xludf.DUMMYFUNCTION("IMPORTRANGE(""https://docs.google.com/spreadsheets/d/1-uDff_7J0KD5mKrp0Vvzr7lt3OU09vwQwhkpOPPYv2Y/edit?usp=sharing"",""งบพรบ!CA16"")"),0)</f>
        <v>0</v>
      </c>
      <c r="M162" s="47">
        <f ca="1">IFERROR(__xludf.DUMMYFUNCTION("IMPORTRANGE(""https://docs.google.com/spreadsheets/d/1-uDff_7J0KD5mKrp0Vvzr7lt3OU09vwQwhkpOPPYv2Y/edit?usp=sharing"",""งบพรบ!CF16"")"),0)</f>
        <v>0</v>
      </c>
      <c r="N162" s="47">
        <f ca="1">IFERROR(__xludf.DUMMYFUNCTION("IMPORTRANGE(""https://docs.google.com/spreadsheets/d/1-uDff_7J0KD5mKrp0Vvzr7lt3OU09vwQwhkpOPPYv2Y/edit?usp=sharing"",""งบพรบ!CH16"")"),0)</f>
        <v>0</v>
      </c>
      <c r="O162" s="47">
        <f ca="1">IF(L162&gt;0,N162*100/L162,0)</f>
        <v>0</v>
      </c>
      <c r="P162" s="47">
        <f ca="1">IF(M162&gt;0,N162*100/M162,0)</f>
        <v>0</v>
      </c>
    </row>
    <row r="163" spans="1:16" ht="18.75" hidden="1" x14ac:dyDescent="0.25">
      <c r="A163" s="136"/>
      <c r="B163" s="41"/>
      <c r="C163" s="41"/>
      <c r="D163" s="42" t="s">
        <v>21</v>
      </c>
      <c r="E163" s="41"/>
      <c r="F163" s="41"/>
      <c r="G163" s="43"/>
      <c r="H163" s="147" t="s">
        <v>12</v>
      </c>
      <c r="I163" s="144"/>
      <c r="J163" s="144"/>
      <c r="K163" s="145"/>
      <c r="L163" s="47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</row>
    <row r="164" spans="1:16" ht="18.75" hidden="1" x14ac:dyDescent="0.25">
      <c r="A164" s="136"/>
      <c r="B164" s="41"/>
      <c r="C164" s="41"/>
      <c r="D164" s="41"/>
      <c r="E164" s="279" t="s">
        <v>18</v>
      </c>
      <c r="F164" s="41"/>
      <c r="G164" s="43"/>
      <c r="H164" s="146" t="s">
        <v>12</v>
      </c>
      <c r="I164" s="144"/>
      <c r="J164" s="144"/>
      <c r="K164" s="145"/>
      <c r="L164" s="50">
        <v>0</v>
      </c>
      <c r="M164" s="50">
        <v>0</v>
      </c>
      <c r="N164" s="50">
        <v>0</v>
      </c>
      <c r="O164" s="50">
        <f>IF(L164&gt;0,N164*100/L164,0)</f>
        <v>0</v>
      </c>
      <c r="P164" s="50">
        <f>IF(M164&gt;0,N164*100/M164,0)</f>
        <v>0</v>
      </c>
    </row>
    <row r="165" spans="1:16" ht="18.75" hidden="1" x14ac:dyDescent="0.25">
      <c r="A165" s="136"/>
      <c r="B165" s="41"/>
      <c r="C165" s="41"/>
      <c r="D165" s="41"/>
      <c r="E165" s="254" t="s">
        <v>19</v>
      </c>
      <c r="F165" s="41"/>
      <c r="G165" s="43"/>
      <c r="H165" s="147" t="s">
        <v>12</v>
      </c>
      <c r="I165" s="144"/>
      <c r="J165" s="144"/>
      <c r="K165" s="145"/>
      <c r="L165" s="47">
        <f ca="1">IFERROR(__xludf.DUMMYFUNCTION("IMPORTRANGE(""https://docs.google.com/spreadsheets/d/1-uDff_7J0KD5mKrp0Vvzr7lt3OU09vwQwhkpOPPYv2Y/edit?usp=sharing"",""งบพรบ!CD16"")"),0)</f>
        <v>0</v>
      </c>
      <c r="M165" s="47">
        <f ca="1">IFERROR(__xludf.DUMMYFUNCTION("IMPORTRANGE(""https://docs.google.com/spreadsheets/d/1-uDff_7J0KD5mKrp0Vvzr7lt3OU09vwQwhkpOPPYv2Y/edit?usp=sharing"",""งบพรบ!CG16"")"),0)</f>
        <v>0</v>
      </c>
      <c r="N165" s="47">
        <f ca="1">IFERROR(__xludf.DUMMYFUNCTION("IMPORTRANGE(""https://docs.google.com/spreadsheets/d/1-uDff_7J0KD5mKrp0Vvzr7lt3OU09vwQwhkpOPPYv2Y/edit?usp=sharing"",""งบพรบ!CI16"")"),0)</f>
        <v>0</v>
      </c>
      <c r="O165" s="47">
        <f ca="1">IF(L165&gt;0,N165*100/L165,0)</f>
        <v>0</v>
      </c>
      <c r="P165" s="47">
        <f ca="1">IF(M165&gt;0,N165*100/M165,0)</f>
        <v>0</v>
      </c>
    </row>
    <row r="166" spans="1:16" ht="19.5" hidden="1" x14ac:dyDescent="0.3">
      <c r="A166" s="148"/>
      <c r="B166" s="149"/>
      <c r="C166" s="197" t="s">
        <v>16</v>
      </c>
      <c r="D166" s="395" t="s">
        <v>36</v>
      </c>
      <c r="E166" s="151"/>
      <c r="F166" s="151"/>
      <c r="G166" s="152"/>
      <c r="H166" s="196"/>
      <c r="I166" s="45"/>
      <c r="J166" s="45"/>
      <c r="K166" s="46"/>
      <c r="L166" s="46"/>
      <c r="M166" s="46"/>
      <c r="N166" s="46"/>
      <c r="O166" s="46"/>
      <c r="P166" s="46"/>
    </row>
    <row r="167" spans="1:16" ht="18.75" hidden="1" x14ac:dyDescent="0.25">
      <c r="A167" s="136"/>
      <c r="B167" s="41"/>
      <c r="C167" s="41"/>
      <c r="D167" s="254" t="s">
        <v>63</v>
      </c>
      <c r="E167" s="41"/>
      <c r="F167" s="41"/>
      <c r="G167" s="43"/>
      <c r="H167" s="147" t="s">
        <v>33</v>
      </c>
      <c r="I167" s="169">
        <f ca="1">IFERROR(__xludf.DUMMYFUNCTION("IMPORTRANGE(""https://docs.google.com/spreadsheets/d/1eHaY18a8A9IcSdp1K8H6x8fbOy06t2VsZHhMHf-1x7Y/edit?usp=sharing"",""แผน!Z16"")"),0)</f>
        <v>0</v>
      </c>
      <c r="J167" s="250">
        <v>0</v>
      </c>
      <c r="K167" s="47">
        <f ca="1">IF(I167&gt;0,J167*100/I167,0)</f>
        <v>0</v>
      </c>
      <c r="L167" s="46"/>
      <c r="M167" s="46"/>
      <c r="N167" s="46"/>
      <c r="O167" s="46"/>
      <c r="P167" s="46"/>
    </row>
    <row r="168" spans="1:16" ht="18.75" hidden="1" x14ac:dyDescent="0.25">
      <c r="A168" s="136"/>
      <c r="B168" s="41"/>
      <c r="C168" s="41"/>
      <c r="D168" s="279" t="s">
        <v>64</v>
      </c>
      <c r="E168" s="41"/>
      <c r="F168" s="41"/>
      <c r="G168" s="43"/>
      <c r="H168" s="199" t="s">
        <v>33</v>
      </c>
      <c r="I168" s="200">
        <f ca="1">IFERROR(__xludf.DUMMYFUNCTION("IMPORTRANGE(""https://docs.google.com/spreadsheets/d/1eHaY18a8A9IcSdp1K8H6x8fbOy06t2VsZHhMHf-1x7Y/edit?usp=sharing"",""แผน!Z16"")"),0)</f>
        <v>0</v>
      </c>
      <c r="J168" s="201">
        <v>0</v>
      </c>
      <c r="K168" s="50">
        <f ca="1">IF(I168&gt;0,J168*100/I168,0)</f>
        <v>0</v>
      </c>
      <c r="L168" s="46"/>
      <c r="M168" s="46"/>
      <c r="N168" s="46"/>
      <c r="O168" s="46"/>
      <c r="P168" s="46"/>
    </row>
    <row r="169" spans="1:16" ht="18.75" hidden="1" x14ac:dyDescent="0.25">
      <c r="A169" s="202"/>
      <c r="B169" s="1"/>
      <c r="C169" s="1"/>
      <c r="D169" s="203" t="s">
        <v>65</v>
      </c>
      <c r="E169" s="1"/>
      <c r="F169" s="1"/>
      <c r="G169" s="54"/>
      <c r="H169" s="204" t="s">
        <v>33</v>
      </c>
      <c r="I169" s="205">
        <f ca="1">IFERROR(__xludf.DUMMYFUNCTION("IMPORTRANGE(""https://docs.google.com/spreadsheets/d/1eHaY18a8A9IcSdp1K8H6x8fbOy06t2VsZHhMHf-1x7Y/edit?usp=sharing"",""แผน!Z16"")"),0)</f>
        <v>0</v>
      </c>
      <c r="J169" s="206">
        <v>0</v>
      </c>
      <c r="K169" s="207">
        <f ca="1">IF(I169&gt;0,J169*100/I169,0)</f>
        <v>0</v>
      </c>
      <c r="L169" s="57"/>
      <c r="M169" s="57"/>
      <c r="N169" s="57"/>
      <c r="O169" s="57"/>
      <c r="P169" s="57"/>
    </row>
    <row r="170" spans="1:16" ht="19.5" x14ac:dyDescent="0.3">
      <c r="A170" s="208" t="s">
        <v>66</v>
      </c>
      <c r="B170" s="209"/>
      <c r="C170" s="209"/>
      <c r="D170" s="209"/>
      <c r="E170" s="210"/>
      <c r="F170" s="210"/>
      <c r="G170" s="210"/>
      <c r="H170" s="210"/>
      <c r="I170" s="211"/>
      <c r="J170" s="211"/>
      <c r="K170" s="212"/>
      <c r="L170" s="212"/>
      <c r="M170" s="212"/>
      <c r="N170" s="212"/>
      <c r="O170" s="212"/>
      <c r="P170" s="213"/>
    </row>
    <row r="171" spans="1:16" ht="19.5" x14ac:dyDescent="0.3">
      <c r="A171" s="214" t="s">
        <v>67</v>
      </c>
      <c r="B171" s="215"/>
      <c r="C171" s="215"/>
      <c r="D171" s="216"/>
      <c r="E171" s="216"/>
      <c r="F171" s="216"/>
      <c r="G171" s="216"/>
      <c r="H171" s="217"/>
      <c r="I171" s="218"/>
      <c r="J171" s="218"/>
      <c r="K171" s="219"/>
      <c r="L171" s="219"/>
      <c r="M171" s="219"/>
      <c r="N171" s="219"/>
      <c r="O171" s="219"/>
      <c r="P171" s="219"/>
    </row>
    <row r="172" spans="1:16" ht="19.5" x14ac:dyDescent="0.3">
      <c r="A172" s="220"/>
      <c r="B172" s="221" t="s">
        <v>68</v>
      </c>
      <c r="C172" s="222"/>
      <c r="D172" s="151"/>
      <c r="E172" s="151"/>
      <c r="F172" s="151"/>
      <c r="G172" s="152"/>
      <c r="H172" s="223" t="s">
        <v>33</v>
      </c>
      <c r="I172" s="224">
        <f ca="1">I183+I184</f>
        <v>7</v>
      </c>
      <c r="J172" s="224">
        <f>J183+J184</f>
        <v>7</v>
      </c>
      <c r="K172" s="225">
        <f ca="1">IF(I172&gt;0,J172*100/I172,0)</f>
        <v>100</v>
      </c>
      <c r="L172" s="226"/>
      <c r="M172" s="226"/>
      <c r="N172" s="226"/>
      <c r="O172" s="226"/>
      <c r="P172" s="226"/>
    </row>
    <row r="173" spans="1:16" ht="19.5" x14ac:dyDescent="0.3">
      <c r="A173" s="136"/>
      <c r="B173" s="41"/>
      <c r="C173" s="197" t="s">
        <v>16</v>
      </c>
      <c r="D173" s="397" t="s">
        <v>17</v>
      </c>
      <c r="E173" s="41"/>
      <c r="F173" s="41"/>
      <c r="G173" s="43"/>
      <c r="H173" s="139" t="s">
        <v>12</v>
      </c>
      <c r="I173" s="45"/>
      <c r="J173" s="45"/>
      <c r="K173" s="46"/>
      <c r="L173" s="140">
        <f ca="1">L174+L175</f>
        <v>19590</v>
      </c>
      <c r="M173" s="140">
        <f ca="1">M174+M175</f>
        <v>19590</v>
      </c>
      <c r="N173" s="140">
        <f ca="1">N174+N175</f>
        <v>17080</v>
      </c>
      <c r="O173" s="140">
        <f ca="1">IF(L173&gt;0,N173*100/L173,0)</f>
        <v>87.187340479836649</v>
      </c>
      <c r="P173" s="140">
        <f ca="1">IF(M173&gt;0,N173*100/M173,0)</f>
        <v>87.187340479836649</v>
      </c>
    </row>
    <row r="174" spans="1:16" ht="18.75" hidden="1" x14ac:dyDescent="0.25">
      <c r="A174" s="136"/>
      <c r="B174" s="41"/>
      <c r="C174" s="41"/>
      <c r="D174" s="41"/>
      <c r="E174" s="279" t="s">
        <v>18</v>
      </c>
      <c r="F174" s="41"/>
      <c r="G174" s="43"/>
      <c r="H174" s="141" t="s">
        <v>12</v>
      </c>
      <c r="I174" s="45"/>
      <c r="J174" s="45"/>
      <c r="K174" s="46"/>
      <c r="L174" s="50">
        <f>L177+L180</f>
        <v>0</v>
      </c>
      <c r="M174" s="50">
        <f>M177+M180</f>
        <v>0</v>
      </c>
      <c r="N174" s="50">
        <f>N177+N180</f>
        <v>0</v>
      </c>
      <c r="O174" s="50">
        <f>IF(L174&gt;0,N174*100/L174,0)</f>
        <v>0</v>
      </c>
      <c r="P174" s="50">
        <f>IF(M174&gt;0,N174*100/M174,0)</f>
        <v>0</v>
      </c>
    </row>
    <row r="175" spans="1:16" ht="18.75" x14ac:dyDescent="0.25">
      <c r="A175" s="136"/>
      <c r="B175" s="41"/>
      <c r="C175" s="41"/>
      <c r="D175" s="41"/>
      <c r="E175" s="254" t="s">
        <v>19</v>
      </c>
      <c r="F175" s="41"/>
      <c r="G175" s="43"/>
      <c r="H175" s="142" t="s">
        <v>12</v>
      </c>
      <c r="I175" s="45"/>
      <c r="J175" s="45"/>
      <c r="K175" s="46"/>
      <c r="L175" s="47">
        <f ca="1">L178+L181</f>
        <v>19590</v>
      </c>
      <c r="M175" s="47">
        <f ca="1">M178+M181</f>
        <v>19590</v>
      </c>
      <c r="N175" s="47">
        <f ca="1">N178+N181</f>
        <v>17080</v>
      </c>
      <c r="O175" s="47">
        <f ca="1">IF(L175&gt;0,N175*100/L175,0)</f>
        <v>87.187340479836649</v>
      </c>
      <c r="P175" s="47">
        <f ca="1">IF(M175&gt;0,N175*100/M175,0)</f>
        <v>87.187340479836649</v>
      </c>
    </row>
    <row r="176" spans="1:16" ht="18.75" x14ac:dyDescent="0.25">
      <c r="A176" s="136"/>
      <c r="B176" s="41"/>
      <c r="C176" s="41"/>
      <c r="D176" s="42" t="s">
        <v>20</v>
      </c>
      <c r="E176" s="41"/>
      <c r="F176" s="41"/>
      <c r="G176" s="43"/>
      <c r="H176" s="143" t="s">
        <v>12</v>
      </c>
      <c r="I176" s="144"/>
      <c r="J176" s="144"/>
      <c r="K176" s="145"/>
      <c r="L176" s="47">
        <f ca="1">L177+L178</f>
        <v>19590</v>
      </c>
      <c r="M176" s="47">
        <f ca="1">M177+M178</f>
        <v>19590</v>
      </c>
      <c r="N176" s="47">
        <f ca="1">N177+N178</f>
        <v>17080</v>
      </c>
      <c r="O176" s="47">
        <f ca="1">IF(L176&gt;0,N176*100/L176,0)</f>
        <v>87.187340479836649</v>
      </c>
      <c r="P176" s="47">
        <f ca="1">IF(M176&gt;0,N176*100/M176,0)</f>
        <v>87.187340479836649</v>
      </c>
    </row>
    <row r="177" spans="1:16" ht="18.75" hidden="1" x14ac:dyDescent="0.25">
      <c r="A177" s="136"/>
      <c r="B177" s="41"/>
      <c r="C177" s="41"/>
      <c r="D177" s="41"/>
      <c r="E177" s="279" t="s">
        <v>34</v>
      </c>
      <c r="F177" s="41"/>
      <c r="G177" s="43"/>
      <c r="H177" s="146" t="s">
        <v>12</v>
      </c>
      <c r="I177" s="144"/>
      <c r="J177" s="144"/>
      <c r="K177" s="145"/>
      <c r="L177" s="50">
        <v>0</v>
      </c>
      <c r="M177" s="50">
        <v>0</v>
      </c>
      <c r="N177" s="50">
        <v>0</v>
      </c>
      <c r="O177" s="50">
        <f>IF(L177&gt;0,N177*100/L177,0)</f>
        <v>0</v>
      </c>
      <c r="P177" s="50">
        <f>IF(M177&gt;0,N177*100/M177,0)</f>
        <v>0</v>
      </c>
    </row>
    <row r="178" spans="1:16" ht="18.75" x14ac:dyDescent="0.25">
      <c r="A178" s="136"/>
      <c r="B178" s="41"/>
      <c r="C178" s="41"/>
      <c r="D178" s="41"/>
      <c r="E178" s="254" t="s">
        <v>35</v>
      </c>
      <c r="F178" s="41"/>
      <c r="G178" s="43"/>
      <c r="H178" s="143" t="s">
        <v>12</v>
      </c>
      <c r="I178" s="144"/>
      <c r="J178" s="144"/>
      <c r="K178" s="145"/>
      <c r="L178" s="47">
        <f ca="1">IFERROR(__xludf.DUMMYFUNCTION("IMPORTRANGE(""https://docs.google.com/spreadsheets/d/1-uDff_7J0KD5mKrp0Vvzr7lt3OU09vwQwhkpOPPYv2Y/edit?usp=sharing"",""งบพรบ!CK16"")"),19590)</f>
        <v>19590</v>
      </c>
      <c r="M178" s="47">
        <f ca="1">IFERROR(__xludf.DUMMYFUNCTION("IMPORTRANGE(""https://docs.google.com/spreadsheets/d/1-uDff_7J0KD5mKrp0Vvzr7lt3OU09vwQwhkpOPPYv2Y/edit?usp=sharing"",""งบพรบ!CP16"")"),19590)</f>
        <v>19590</v>
      </c>
      <c r="N178" s="47">
        <f ca="1">IFERROR(__xludf.DUMMYFUNCTION("IMPORTRANGE(""https://docs.google.com/spreadsheets/d/1-uDff_7J0KD5mKrp0Vvzr7lt3OU09vwQwhkpOPPYv2Y/edit?usp=sharing"",""งบพรบ!CR16"")"),17080)</f>
        <v>17080</v>
      </c>
      <c r="O178" s="47">
        <f ca="1">IF(L178&gt;0,N178*100/L178,0)</f>
        <v>87.187340479836649</v>
      </c>
      <c r="P178" s="47">
        <f ca="1">IF(M178&gt;0,N178*100/M178,0)</f>
        <v>87.187340479836649</v>
      </c>
    </row>
    <row r="179" spans="1:16" ht="18.75" x14ac:dyDescent="0.25">
      <c r="A179" s="136"/>
      <c r="B179" s="41"/>
      <c r="C179" s="41"/>
      <c r="D179" s="42" t="s">
        <v>21</v>
      </c>
      <c r="E179" s="41"/>
      <c r="F179" s="41"/>
      <c r="G179" s="43"/>
      <c r="H179" s="147" t="s">
        <v>12</v>
      </c>
      <c r="I179" s="144"/>
      <c r="J179" s="144"/>
      <c r="K179" s="145"/>
      <c r="L179" s="47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</row>
    <row r="180" spans="1:16" ht="18.75" hidden="1" x14ac:dyDescent="0.25">
      <c r="A180" s="136"/>
      <c r="B180" s="41"/>
      <c r="C180" s="41"/>
      <c r="D180" s="41"/>
      <c r="E180" s="279" t="s">
        <v>18</v>
      </c>
      <c r="F180" s="41"/>
      <c r="G180" s="43"/>
      <c r="H180" s="146" t="s">
        <v>12</v>
      </c>
      <c r="I180" s="144"/>
      <c r="J180" s="144"/>
      <c r="K180" s="145"/>
      <c r="L180" s="50">
        <v>0</v>
      </c>
      <c r="M180" s="50">
        <v>0</v>
      </c>
      <c r="N180" s="50">
        <v>0</v>
      </c>
      <c r="O180" s="50">
        <f>IF(L180&gt;0,N180*100/L180,0)</f>
        <v>0</v>
      </c>
      <c r="P180" s="50">
        <f>IF(M180&gt;0,N180*100/M180,0)</f>
        <v>0</v>
      </c>
    </row>
    <row r="181" spans="1:16" ht="18.75" x14ac:dyDescent="0.25">
      <c r="A181" s="136"/>
      <c r="B181" s="41"/>
      <c r="C181" s="41"/>
      <c r="D181" s="41"/>
      <c r="E181" s="254" t="s">
        <v>19</v>
      </c>
      <c r="F181" s="41"/>
      <c r="G181" s="43"/>
      <c r="H181" s="147" t="s">
        <v>12</v>
      </c>
      <c r="I181" s="144"/>
      <c r="J181" s="144"/>
      <c r="K181" s="145"/>
      <c r="L181" s="47">
        <f ca="1">IFERROR(__xludf.DUMMYFUNCTION("IMPORTRANGE(""https://docs.google.com/spreadsheets/d/1-uDff_7J0KD5mKrp0Vvzr7lt3OU09vwQwhkpOPPYv2Y/edit?usp=sharing"",""งบพรบ!CN16"")"),0)</f>
        <v>0</v>
      </c>
      <c r="M181" s="47">
        <f ca="1">IFERROR(__xludf.DUMMYFUNCTION("IMPORTRANGE(""https://docs.google.com/spreadsheets/d/1-uDff_7J0KD5mKrp0Vvzr7lt3OU09vwQwhkpOPPYv2Y/edit?usp=sharing"",""งบพรบ!CQ16"")"),0)</f>
        <v>0</v>
      </c>
      <c r="N181" s="47">
        <f ca="1">IFERROR(__xludf.DUMMYFUNCTION("IMPORTRANGE(""https://docs.google.com/spreadsheets/d/1-uDff_7J0KD5mKrp0Vvzr7lt3OU09vwQwhkpOPPYv2Y/edit?usp=sharing"",""งบพรบ!CS16"")"),0)</f>
        <v>0</v>
      </c>
      <c r="O181" s="47">
        <f ca="1">IF(L181&gt;0,N181*100/L181,0)</f>
        <v>0</v>
      </c>
      <c r="P181" s="47">
        <f ca="1">IF(M181&gt;0,N181*100/M181,0)</f>
        <v>0</v>
      </c>
    </row>
    <row r="182" spans="1:16" ht="19.5" x14ac:dyDescent="0.3">
      <c r="A182" s="148"/>
      <c r="B182" s="149"/>
      <c r="C182" s="197" t="s">
        <v>16</v>
      </c>
      <c r="D182" s="395" t="s">
        <v>36</v>
      </c>
      <c r="E182" s="151"/>
      <c r="F182" s="151"/>
      <c r="G182" s="152"/>
      <c r="H182" s="196"/>
      <c r="I182" s="45"/>
      <c r="J182" s="45"/>
      <c r="K182" s="46"/>
      <c r="L182" s="46"/>
      <c r="M182" s="46"/>
      <c r="N182" s="46"/>
      <c r="O182" s="46"/>
      <c r="P182" s="46"/>
    </row>
    <row r="183" spans="1:16" ht="18.75" x14ac:dyDescent="0.25">
      <c r="A183" s="227"/>
      <c r="B183" s="41"/>
      <c r="C183" s="228"/>
      <c r="D183" s="229" t="s">
        <v>69</v>
      </c>
      <c r="E183" s="41"/>
      <c r="F183" s="41"/>
      <c r="G183" s="43"/>
      <c r="H183" s="230" t="s">
        <v>33</v>
      </c>
      <c r="I183" s="169">
        <f ca="1">IFERROR(__xludf.DUMMYFUNCTION("IMPORTRANGE(""https://docs.google.com/spreadsheets/d/1eHaY18a8A9IcSdp1K8H6x8fbOy06t2VsZHhMHf-1x7Y/edit?usp=sharing"",""แผน!AA16"")"),7)</f>
        <v>7</v>
      </c>
      <c r="J183" s="250">
        <v>7</v>
      </c>
      <c r="K183" s="47">
        <f ca="1">IF(I183&gt;0,J183*100/I183,0)</f>
        <v>100</v>
      </c>
      <c r="L183" s="46"/>
      <c r="M183" s="46"/>
      <c r="N183" s="46"/>
      <c r="O183" s="46"/>
      <c r="P183" s="46"/>
    </row>
    <row r="184" spans="1:16" ht="18.75" hidden="1" x14ac:dyDescent="0.25">
      <c r="A184" s="227"/>
      <c r="B184" s="228"/>
      <c r="C184" s="228"/>
      <c r="D184" s="231" t="s">
        <v>70</v>
      </c>
      <c r="E184" s="41"/>
      <c r="F184" s="41"/>
      <c r="G184" s="43"/>
      <c r="H184" s="232" t="s">
        <v>33</v>
      </c>
      <c r="I184" s="200">
        <v>0</v>
      </c>
      <c r="J184" s="200">
        <v>0</v>
      </c>
      <c r="K184" s="50">
        <f>IF(I184&gt;0,J184*100/I184,0)</f>
        <v>0</v>
      </c>
      <c r="L184" s="46"/>
      <c r="M184" s="46"/>
      <c r="N184" s="46"/>
      <c r="O184" s="46"/>
      <c r="P184" s="46"/>
    </row>
    <row r="185" spans="1:16" ht="19.5" x14ac:dyDescent="0.3">
      <c r="A185" s="220"/>
      <c r="B185" s="221" t="s">
        <v>71</v>
      </c>
      <c r="C185" s="222"/>
      <c r="D185" s="151"/>
      <c r="E185" s="151"/>
      <c r="F185" s="151"/>
      <c r="G185" s="152"/>
      <c r="H185" s="223" t="s">
        <v>33</v>
      </c>
      <c r="I185" s="224">
        <f ca="1">I230+I231</f>
        <v>60</v>
      </c>
      <c r="J185" s="224">
        <f>J230+J231</f>
        <v>0</v>
      </c>
      <c r="K185" s="225">
        <f ca="1">IF(I185&gt;0,J185*100/I185,0)</f>
        <v>0</v>
      </c>
      <c r="L185" s="226"/>
      <c r="M185" s="226"/>
      <c r="N185" s="226"/>
      <c r="O185" s="226"/>
      <c r="P185" s="226"/>
    </row>
    <row r="186" spans="1:16" ht="19.5" x14ac:dyDescent="0.3">
      <c r="A186" s="136"/>
      <c r="B186" s="41"/>
      <c r="C186" s="197" t="s">
        <v>16</v>
      </c>
      <c r="D186" s="397" t="s">
        <v>17</v>
      </c>
      <c r="E186" s="41"/>
      <c r="F186" s="41"/>
      <c r="G186" s="43"/>
      <c r="H186" s="139" t="s">
        <v>12</v>
      </c>
      <c r="I186" s="45"/>
      <c r="J186" s="45"/>
      <c r="K186" s="46"/>
      <c r="L186" s="140">
        <f ca="1">L187+L188</f>
        <v>509400</v>
      </c>
      <c r="M186" s="140">
        <f ca="1">M187+M188</f>
        <v>410000</v>
      </c>
      <c r="N186" s="140">
        <f ca="1">N187+N188</f>
        <v>42800</v>
      </c>
      <c r="O186" s="140">
        <f ca="1">IF(L186&gt;0,N186*100/L186,0)</f>
        <v>8.4020416175893207</v>
      </c>
      <c r="P186" s="140">
        <f ca="1">IF(M186&gt;0,N186*100/M186,0)</f>
        <v>10.439024390243903</v>
      </c>
    </row>
    <row r="187" spans="1:16" ht="18.75" hidden="1" x14ac:dyDescent="0.25">
      <c r="A187" s="136"/>
      <c r="B187" s="41"/>
      <c r="C187" s="41"/>
      <c r="D187" s="41"/>
      <c r="E187" s="279" t="s">
        <v>18</v>
      </c>
      <c r="F187" s="41"/>
      <c r="G187" s="43"/>
      <c r="H187" s="141" t="s">
        <v>12</v>
      </c>
      <c r="I187" s="45"/>
      <c r="J187" s="45"/>
      <c r="K187" s="46"/>
      <c r="L187" s="50">
        <f>L190+L193</f>
        <v>0</v>
      </c>
      <c r="M187" s="50">
        <f>M190+M193</f>
        <v>0</v>
      </c>
      <c r="N187" s="50">
        <f>N190+N193</f>
        <v>0</v>
      </c>
      <c r="O187" s="50">
        <f>IF(L187&gt;0,N187*100/L187,0)</f>
        <v>0</v>
      </c>
      <c r="P187" s="50">
        <f>IF(M187&gt;0,N187*100/M187,0)</f>
        <v>0</v>
      </c>
    </row>
    <row r="188" spans="1:16" ht="18.75" x14ac:dyDescent="0.25">
      <c r="A188" s="136"/>
      <c r="B188" s="41"/>
      <c r="C188" s="41"/>
      <c r="D188" s="41"/>
      <c r="E188" s="254" t="s">
        <v>19</v>
      </c>
      <c r="F188" s="41"/>
      <c r="G188" s="43"/>
      <c r="H188" s="142" t="s">
        <v>12</v>
      </c>
      <c r="I188" s="45"/>
      <c r="J188" s="45"/>
      <c r="K188" s="46"/>
      <c r="L188" s="47">
        <f ca="1">L191+L194</f>
        <v>509400</v>
      </c>
      <c r="M188" s="47">
        <f ca="1">M191+M194</f>
        <v>410000</v>
      </c>
      <c r="N188" s="47">
        <f ca="1">N191+N194</f>
        <v>42800</v>
      </c>
      <c r="O188" s="47">
        <f ca="1">IF(L188&gt;0,N188*100/L188,0)</f>
        <v>8.4020416175893207</v>
      </c>
      <c r="P188" s="47">
        <f ca="1">IF(M188&gt;0,N188*100/M188,0)</f>
        <v>10.439024390243903</v>
      </c>
    </row>
    <row r="189" spans="1:16" ht="18.75" x14ac:dyDescent="0.25">
      <c r="A189" s="136"/>
      <c r="B189" s="41"/>
      <c r="C189" s="41"/>
      <c r="D189" s="42" t="s">
        <v>20</v>
      </c>
      <c r="E189" s="41"/>
      <c r="F189" s="41"/>
      <c r="G189" s="43"/>
      <c r="H189" s="143" t="s">
        <v>12</v>
      </c>
      <c r="I189" s="144"/>
      <c r="J189" s="144"/>
      <c r="K189" s="145"/>
      <c r="L189" s="47">
        <f ca="1">L190+L191</f>
        <v>509400</v>
      </c>
      <c r="M189" s="47">
        <f ca="1">M190+M191</f>
        <v>410000</v>
      </c>
      <c r="N189" s="47">
        <f ca="1">N190+N191</f>
        <v>42800</v>
      </c>
      <c r="O189" s="47">
        <f ca="1">IF(L189&gt;0,N189*100/L189,0)</f>
        <v>8.4020416175893207</v>
      </c>
      <c r="P189" s="47">
        <f ca="1">IF(M189&gt;0,N189*100/M189,0)</f>
        <v>10.439024390243903</v>
      </c>
    </row>
    <row r="190" spans="1:16" ht="18.75" hidden="1" x14ac:dyDescent="0.25">
      <c r="A190" s="136"/>
      <c r="B190" s="41"/>
      <c r="C190" s="41"/>
      <c r="D190" s="41"/>
      <c r="E190" s="279" t="s">
        <v>34</v>
      </c>
      <c r="F190" s="41"/>
      <c r="G190" s="43"/>
      <c r="H190" s="146" t="s">
        <v>12</v>
      </c>
      <c r="I190" s="144"/>
      <c r="J190" s="144"/>
      <c r="K190" s="145"/>
      <c r="L190" s="50">
        <v>0</v>
      </c>
      <c r="M190" s="50">
        <v>0</v>
      </c>
      <c r="N190" s="50">
        <v>0</v>
      </c>
      <c r="O190" s="50">
        <f>IF(L190&gt;0,N190*100/L190,0)</f>
        <v>0</v>
      </c>
      <c r="P190" s="50">
        <f>IF(M190&gt;0,N190*100/M190,0)</f>
        <v>0</v>
      </c>
    </row>
    <row r="191" spans="1:16" ht="18.75" x14ac:dyDescent="0.25">
      <c r="A191" s="136"/>
      <c r="B191" s="41"/>
      <c r="C191" s="41"/>
      <c r="D191" s="41"/>
      <c r="E191" s="254" t="s">
        <v>35</v>
      </c>
      <c r="F191" s="41"/>
      <c r="G191" s="43"/>
      <c r="H191" s="143" t="s">
        <v>12</v>
      </c>
      <c r="I191" s="144"/>
      <c r="J191" s="144"/>
      <c r="K191" s="145"/>
      <c r="L191" s="47">
        <f ca="1">IFERROR(__xludf.DUMMYFUNCTION("IMPORTRANGE(""https://docs.google.com/spreadsheets/d/1-uDff_7J0KD5mKrp0Vvzr7lt3OU09vwQwhkpOPPYv2Y/edit?usp=sharing"",""งบพรบ!CU16"")"),509400)</f>
        <v>509400</v>
      </c>
      <c r="M191" s="47">
        <f ca="1">IFERROR(__xludf.DUMMYFUNCTION("IMPORTRANGE(""https://docs.google.com/spreadsheets/d/1-uDff_7J0KD5mKrp0Vvzr7lt3OU09vwQwhkpOPPYv2Y/edit?usp=sharing"",""งบพรบ!CZ16"")"),410000)</f>
        <v>410000</v>
      </c>
      <c r="N191" s="47">
        <f ca="1">IFERROR(__xludf.DUMMYFUNCTION("IMPORTRANGE(""https://docs.google.com/spreadsheets/d/1-uDff_7J0KD5mKrp0Vvzr7lt3OU09vwQwhkpOPPYv2Y/edit?usp=sharing"",""งบพรบ!DB16"")"),42800)</f>
        <v>42800</v>
      </c>
      <c r="O191" s="47">
        <f ca="1">IF(L191&gt;0,N191*100/L191,0)</f>
        <v>8.4020416175893207</v>
      </c>
      <c r="P191" s="47">
        <f ca="1">IF(M191&gt;0,N191*100/M191,0)</f>
        <v>10.439024390243903</v>
      </c>
    </row>
    <row r="192" spans="1:16" ht="18.75" x14ac:dyDescent="0.25">
      <c r="A192" s="136"/>
      <c r="B192" s="41"/>
      <c r="C192" s="41"/>
      <c r="D192" s="42" t="s">
        <v>21</v>
      </c>
      <c r="E192" s="41"/>
      <c r="F192" s="41"/>
      <c r="G192" s="43"/>
      <c r="H192" s="147" t="s">
        <v>12</v>
      </c>
      <c r="I192" s="144"/>
      <c r="J192" s="144"/>
      <c r="K192" s="145"/>
      <c r="L192" s="47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</row>
    <row r="193" spans="1:16" ht="18.75" hidden="1" x14ac:dyDescent="0.25">
      <c r="A193" s="136"/>
      <c r="B193" s="41"/>
      <c r="C193" s="41"/>
      <c r="D193" s="41"/>
      <c r="E193" s="279" t="s">
        <v>18</v>
      </c>
      <c r="F193" s="41"/>
      <c r="G193" s="43"/>
      <c r="H193" s="146" t="s">
        <v>12</v>
      </c>
      <c r="I193" s="144"/>
      <c r="J193" s="144"/>
      <c r="K193" s="145"/>
      <c r="L193" s="50">
        <v>0</v>
      </c>
      <c r="M193" s="50">
        <v>0</v>
      </c>
      <c r="N193" s="50">
        <v>0</v>
      </c>
      <c r="O193" s="50">
        <f>IF(L193&gt;0,N193*100/L193,0)</f>
        <v>0</v>
      </c>
      <c r="P193" s="50">
        <f>IF(M193&gt;0,N193*100/M193,0)</f>
        <v>0</v>
      </c>
    </row>
    <row r="194" spans="1:16" ht="18.75" x14ac:dyDescent="0.25">
      <c r="A194" s="136"/>
      <c r="B194" s="41"/>
      <c r="C194" s="41"/>
      <c r="D194" s="41"/>
      <c r="E194" s="254" t="s">
        <v>19</v>
      </c>
      <c r="F194" s="41"/>
      <c r="G194" s="43"/>
      <c r="H194" s="147" t="s">
        <v>12</v>
      </c>
      <c r="I194" s="144"/>
      <c r="J194" s="144"/>
      <c r="K194" s="145"/>
      <c r="L194" s="47">
        <f ca="1">IFERROR(__xludf.DUMMYFUNCTION("IMPORTRANGE(""https://docs.google.com/spreadsheets/d/1-uDff_7J0KD5mKrp0Vvzr7lt3OU09vwQwhkpOPPYv2Y/edit?usp=sharing"",""งบพรบ!CX16"")"),0)</f>
        <v>0</v>
      </c>
      <c r="M194" s="47">
        <f ca="1">IFERROR(__xludf.DUMMYFUNCTION("IMPORTRANGE(""https://docs.google.com/spreadsheets/d/1-uDff_7J0KD5mKrp0Vvzr7lt3OU09vwQwhkpOPPYv2Y/edit?usp=sharing"",""งบพรบ!DA16"")"),0)</f>
        <v>0</v>
      </c>
      <c r="N194" s="47">
        <f ca="1">IFERROR(__xludf.DUMMYFUNCTION("IMPORTRANGE(""https://docs.google.com/spreadsheets/d/1-uDff_7J0KD5mKrp0Vvzr7lt3OU09vwQwhkpOPPYv2Y/edit?usp=sharing"",""งบพรบ!DC16"")"),0)</f>
        <v>0</v>
      </c>
      <c r="O194" s="47">
        <f ca="1">IF(L194&gt;0,N194*100/L194,0)</f>
        <v>0</v>
      </c>
      <c r="P194" s="47">
        <f ca="1">IF(M194&gt;0,N194*100/M194,0)</f>
        <v>0</v>
      </c>
    </row>
    <row r="195" spans="1:16" ht="19.5" x14ac:dyDescent="0.3">
      <c r="A195" s="233"/>
      <c r="B195" s="234"/>
      <c r="C195" s="235" t="s">
        <v>72</v>
      </c>
      <c r="D195" s="236"/>
      <c r="E195" s="236"/>
      <c r="F195" s="236"/>
      <c r="G195" s="237"/>
      <c r="H195" s="238" t="s">
        <v>73</v>
      </c>
      <c r="I195" s="239">
        <f ca="1">I198</f>
        <v>4</v>
      </c>
      <c r="J195" s="239">
        <f>J198</f>
        <v>0</v>
      </c>
      <c r="K195" s="240">
        <f ca="1">IF(I195&gt;0,J195*100/I195,0)</f>
        <v>0</v>
      </c>
      <c r="L195" s="241"/>
      <c r="M195" s="241"/>
      <c r="N195" s="241"/>
      <c r="O195" s="241"/>
      <c r="P195" s="241"/>
    </row>
    <row r="196" spans="1:16" ht="19.5" x14ac:dyDescent="0.3">
      <c r="A196" s="136"/>
      <c r="B196" s="41"/>
      <c r="C196" s="197" t="s">
        <v>16</v>
      </c>
      <c r="D196" s="400" t="s">
        <v>17</v>
      </c>
      <c r="E196" s="41"/>
      <c r="F196" s="41"/>
      <c r="G196" s="43"/>
      <c r="H196" s="243" t="s">
        <v>12</v>
      </c>
      <c r="I196" s="45"/>
      <c r="J196" s="45"/>
      <c r="K196" s="46"/>
      <c r="L196" s="140">
        <f ca="1">IFERROR(__xludf.DUMMYFUNCTION("IMPORTRANGE(""https://docs.google.com/spreadsheets/d/1eHaY18a8A9IcSdp1K8H6x8fbOy06t2VsZHhMHf-1x7Y/edit?usp=sharing"",""แผน!AB16"")"),6000)</f>
        <v>6000</v>
      </c>
      <c r="M196" s="46"/>
      <c r="N196" s="244">
        <v>0</v>
      </c>
      <c r="O196" s="140">
        <f ca="1">IF(L196&gt;0,N196*100/L196,0)</f>
        <v>0</v>
      </c>
      <c r="P196" s="140">
        <f>IF(M196&gt;0,N196*100/M196,0)</f>
        <v>0</v>
      </c>
    </row>
    <row r="197" spans="1:16" ht="19.5" x14ac:dyDescent="0.3">
      <c r="A197" s="148"/>
      <c r="B197" s="149"/>
      <c r="C197" s="197" t="s">
        <v>16</v>
      </c>
      <c r="D197" s="395" t="s">
        <v>36</v>
      </c>
      <c r="E197" s="151"/>
      <c r="F197" s="151"/>
      <c r="G197" s="152"/>
      <c r="H197" s="153"/>
      <c r="I197" s="45"/>
      <c r="J197" s="45"/>
      <c r="K197" s="46"/>
      <c r="L197" s="46"/>
      <c r="M197" s="46"/>
      <c r="N197" s="46"/>
      <c r="O197" s="46"/>
      <c r="P197" s="46"/>
    </row>
    <row r="198" spans="1:16" ht="18.75" x14ac:dyDescent="0.25">
      <c r="A198" s="148"/>
      <c r="B198" s="149"/>
      <c r="C198" s="149"/>
      <c r="D198" s="159" t="s">
        <v>74</v>
      </c>
      <c r="E198" s="155"/>
      <c r="F198" s="155"/>
      <c r="G198" s="153"/>
      <c r="H198" s="251" t="s">
        <v>73</v>
      </c>
      <c r="I198" s="169">
        <f ca="1">IFERROR(__xludf.DUMMYFUNCTION("IMPORTRANGE(""https://docs.google.com/spreadsheets/d/1eHaY18a8A9IcSdp1K8H6x8fbOy06t2VsZHhMHf-1x7Y/edit?usp=sharing"",""แผน!AE16"")"),4)</f>
        <v>4</v>
      </c>
      <c r="J198" s="250">
        <v>0</v>
      </c>
      <c r="K198" s="47">
        <f ca="1">IF(I198&gt;0,J198*100/I198,0)</f>
        <v>0</v>
      </c>
      <c r="L198" s="46"/>
      <c r="M198" s="46"/>
      <c r="N198" s="46"/>
      <c r="O198" s="46"/>
      <c r="P198" s="46"/>
    </row>
    <row r="199" spans="1:16" ht="18.75" x14ac:dyDescent="0.25">
      <c r="A199" s="148"/>
      <c r="B199" s="149"/>
      <c r="C199" s="149"/>
      <c r="D199" s="159" t="s">
        <v>75</v>
      </c>
      <c r="E199" s="155"/>
      <c r="F199" s="155"/>
      <c r="G199" s="153"/>
      <c r="H199" s="230" t="s">
        <v>33</v>
      </c>
      <c r="I199" s="45"/>
      <c r="J199" s="169">
        <f>J200+J201</f>
        <v>0</v>
      </c>
      <c r="K199" s="46"/>
      <c r="L199" s="46"/>
      <c r="M199" s="46"/>
      <c r="N199" s="46"/>
      <c r="O199" s="46"/>
      <c r="P199" s="46"/>
    </row>
    <row r="200" spans="1:16" ht="18.75" x14ac:dyDescent="0.25">
      <c r="A200" s="148"/>
      <c r="B200" s="149"/>
      <c r="C200" s="149"/>
      <c r="D200" s="149"/>
      <c r="E200" s="159" t="s">
        <v>76</v>
      </c>
      <c r="F200" s="155"/>
      <c r="G200" s="153"/>
      <c r="H200" s="230" t="s">
        <v>33</v>
      </c>
      <c r="I200" s="45"/>
      <c r="J200" s="250">
        <v>0</v>
      </c>
      <c r="K200" s="46"/>
      <c r="L200" s="46"/>
      <c r="M200" s="46"/>
      <c r="N200" s="46"/>
      <c r="O200" s="46"/>
      <c r="P200" s="46"/>
    </row>
    <row r="201" spans="1:16" ht="18.75" x14ac:dyDescent="0.25">
      <c r="A201" s="148"/>
      <c r="B201" s="149"/>
      <c r="C201" s="149"/>
      <c r="D201" s="149"/>
      <c r="E201" s="159" t="s">
        <v>77</v>
      </c>
      <c r="F201" s="155"/>
      <c r="G201" s="153"/>
      <c r="H201" s="230" t="s">
        <v>33</v>
      </c>
      <c r="I201" s="45"/>
      <c r="J201" s="250">
        <v>0</v>
      </c>
      <c r="K201" s="46"/>
      <c r="L201" s="46"/>
      <c r="M201" s="46"/>
      <c r="N201" s="46"/>
      <c r="O201" s="46"/>
      <c r="P201" s="46"/>
    </row>
    <row r="202" spans="1:16" ht="19.5" x14ac:dyDescent="0.3">
      <c r="A202" s="233"/>
      <c r="B202" s="234"/>
      <c r="C202" s="235" t="s">
        <v>78</v>
      </c>
      <c r="D202" s="236"/>
      <c r="E202" s="236"/>
      <c r="F202" s="236"/>
      <c r="G202" s="237"/>
      <c r="H202" s="245" t="s">
        <v>79</v>
      </c>
      <c r="I202" s="239">
        <f ca="1">I209</f>
        <v>2</v>
      </c>
      <c r="J202" s="239">
        <f>J209</f>
        <v>0</v>
      </c>
      <c r="K202" s="240">
        <f ca="1">IF(I202&gt;0,J202*100/I202,0)</f>
        <v>0</v>
      </c>
      <c r="L202" s="241"/>
      <c r="M202" s="241"/>
      <c r="N202" s="241"/>
      <c r="O202" s="241"/>
      <c r="P202" s="241"/>
    </row>
    <row r="203" spans="1:16" ht="19.5" x14ac:dyDescent="0.3">
      <c r="A203" s="136"/>
      <c r="B203" s="41"/>
      <c r="C203" s="197" t="s">
        <v>16</v>
      </c>
      <c r="D203" s="400" t="s">
        <v>17</v>
      </c>
      <c r="E203" s="41"/>
      <c r="F203" s="41"/>
      <c r="G203" s="43"/>
      <c r="H203" s="243" t="s">
        <v>12</v>
      </c>
      <c r="I203" s="144"/>
      <c r="J203" s="144"/>
      <c r="K203" s="145"/>
      <c r="L203" s="140">
        <f ca="1">L204+L205+L206+L207</f>
        <v>26000</v>
      </c>
      <c r="M203" s="46"/>
      <c r="N203" s="140">
        <f>N204+N205+N206+N207</f>
        <v>0</v>
      </c>
      <c r="O203" s="140">
        <f ca="1">IF(L203&gt;0,N203*100/L203,0)</f>
        <v>0</v>
      </c>
      <c r="P203" s="140">
        <f>IF(M203&gt;0,N203*100/M203,0)</f>
        <v>0</v>
      </c>
    </row>
    <row r="204" spans="1:16" ht="18.75" x14ac:dyDescent="0.25">
      <c r="A204" s="136"/>
      <c r="B204" s="228"/>
      <c r="C204" s="41"/>
      <c r="D204" s="253" t="s">
        <v>153</v>
      </c>
      <c r="E204" s="41"/>
      <c r="F204" s="41"/>
      <c r="G204" s="43"/>
      <c r="H204" s="143" t="s">
        <v>12</v>
      </c>
      <c r="I204" s="144"/>
      <c r="J204" s="144"/>
      <c r="K204" s="145"/>
      <c r="L204" s="47">
        <f ca="1">IFERROR(__xludf.DUMMYFUNCTION("IMPORTRANGE(""https://docs.google.com/spreadsheets/d/1eHaY18a8A9IcSdp1K8H6x8fbOy06t2VsZHhMHf-1x7Y/edit?usp=sharing"",""แผน!AG16"")"),2000)</f>
        <v>2000</v>
      </c>
      <c r="M204" s="46"/>
      <c r="N204" s="248">
        <v>0</v>
      </c>
      <c r="O204" s="145"/>
      <c r="P204" s="46"/>
    </row>
    <row r="205" spans="1:16" ht="18.75" x14ac:dyDescent="0.25">
      <c r="A205" s="227"/>
      <c r="B205" s="228"/>
      <c r="C205" s="41"/>
      <c r="D205" s="254" t="s">
        <v>81</v>
      </c>
      <c r="E205" s="41"/>
      <c r="F205" s="41"/>
      <c r="G205" s="43"/>
      <c r="H205" s="44" t="s">
        <v>12</v>
      </c>
      <c r="I205" s="45"/>
      <c r="J205" s="45"/>
      <c r="K205" s="46"/>
      <c r="L205" s="47">
        <f ca="1">IFERROR(__xludf.DUMMYFUNCTION("IMPORTRANGE(""https://docs.google.com/spreadsheets/d/1eHaY18a8A9IcSdp1K8H6x8fbOy06t2VsZHhMHf-1x7Y/edit?usp=sharing"",""แผน!AH16"")"),0)</f>
        <v>0</v>
      </c>
      <c r="M205" s="46"/>
      <c r="N205" s="248">
        <v>0</v>
      </c>
      <c r="O205" s="145"/>
      <c r="P205" s="46"/>
    </row>
    <row r="206" spans="1:16" ht="18.75" x14ac:dyDescent="0.25">
      <c r="A206" s="227"/>
      <c r="B206" s="228"/>
      <c r="C206" s="41"/>
      <c r="D206" s="254" t="s">
        <v>82</v>
      </c>
      <c r="E206" s="41"/>
      <c r="F206" s="41"/>
      <c r="G206" s="43"/>
      <c r="H206" s="44" t="s">
        <v>12</v>
      </c>
      <c r="I206" s="45"/>
      <c r="J206" s="45"/>
      <c r="K206" s="46"/>
      <c r="L206" s="47">
        <f ca="1">IFERROR(__xludf.DUMMYFUNCTION("IMPORTRANGE(""https://docs.google.com/spreadsheets/d/1eHaY18a8A9IcSdp1K8H6x8fbOy06t2VsZHhMHf-1x7Y/edit?usp=sharing"",""แผน!AI16"")"),16000)</f>
        <v>16000</v>
      </c>
      <c r="M206" s="46"/>
      <c r="N206" s="248">
        <v>0</v>
      </c>
      <c r="O206" s="145"/>
      <c r="P206" s="46"/>
    </row>
    <row r="207" spans="1:16" ht="18.75" x14ac:dyDescent="0.25">
      <c r="A207" s="227"/>
      <c r="B207" s="228"/>
      <c r="C207" s="41"/>
      <c r="D207" s="254" t="s">
        <v>83</v>
      </c>
      <c r="E207" s="41"/>
      <c r="F207" s="41"/>
      <c r="G207" s="43"/>
      <c r="H207" s="44" t="s">
        <v>12</v>
      </c>
      <c r="I207" s="45"/>
      <c r="J207" s="45"/>
      <c r="K207" s="46"/>
      <c r="L207" s="47">
        <f ca="1">IFERROR(__xludf.DUMMYFUNCTION("IMPORTRANGE(""https://docs.google.com/spreadsheets/d/1eHaY18a8A9IcSdp1K8H6x8fbOy06t2VsZHhMHf-1x7Y/edit?usp=sharing"",""แผน!AJ16"")"),8000)</f>
        <v>8000</v>
      </c>
      <c r="M207" s="46"/>
      <c r="N207" s="248">
        <v>0</v>
      </c>
      <c r="O207" s="145"/>
      <c r="P207" s="46"/>
    </row>
    <row r="208" spans="1:16" ht="19.5" x14ac:dyDescent="0.3">
      <c r="A208" s="148"/>
      <c r="B208" s="149"/>
      <c r="C208" s="197" t="s">
        <v>16</v>
      </c>
      <c r="D208" s="395" t="s">
        <v>36</v>
      </c>
      <c r="E208" s="151"/>
      <c r="F208" s="151"/>
      <c r="G208" s="152"/>
      <c r="H208" s="153"/>
      <c r="I208" s="144"/>
      <c r="J208" s="144"/>
      <c r="K208" s="145"/>
      <c r="L208" s="145"/>
      <c r="M208" s="145"/>
      <c r="N208" s="145"/>
      <c r="O208" s="145"/>
      <c r="P208" s="145"/>
    </row>
    <row r="209" spans="1:16" ht="18.75" x14ac:dyDescent="0.25">
      <c r="A209" s="148"/>
      <c r="B209" s="149"/>
      <c r="C209" s="149"/>
      <c r="D209" s="154" t="s">
        <v>84</v>
      </c>
      <c r="E209" s="155"/>
      <c r="F209" s="155"/>
      <c r="G209" s="153"/>
      <c r="H209" s="249" t="s">
        <v>79</v>
      </c>
      <c r="I209" s="169">
        <f ca="1">IFERROR(__xludf.DUMMYFUNCTION("IMPORTRANGE(""https://docs.google.com/spreadsheets/d/1eHaY18a8A9IcSdp1K8H6x8fbOy06t2VsZHhMHf-1x7Y/edit?usp=sharing"",""แผน!AK16"")"),2)</f>
        <v>2</v>
      </c>
      <c r="J209" s="250">
        <v>0</v>
      </c>
      <c r="K209" s="163">
        <f ca="1">IF(I209&gt;0,J209*100/I209,0)</f>
        <v>0</v>
      </c>
      <c r="L209" s="46"/>
      <c r="M209" s="46"/>
      <c r="N209" s="46"/>
      <c r="O209" s="46"/>
      <c r="P209" s="46"/>
    </row>
    <row r="210" spans="1:16" ht="18.75" x14ac:dyDescent="0.25">
      <c r="A210" s="148"/>
      <c r="B210" s="149"/>
      <c r="C210" s="149"/>
      <c r="D210" s="159" t="s">
        <v>48</v>
      </c>
      <c r="E210" s="155"/>
      <c r="F210" s="155"/>
      <c r="G210" s="153"/>
      <c r="H210" s="153"/>
      <c r="I210" s="45"/>
      <c r="J210" s="45"/>
      <c r="K210" s="145"/>
      <c r="L210" s="46"/>
      <c r="M210" s="46"/>
      <c r="N210" s="46"/>
      <c r="O210" s="46"/>
      <c r="P210" s="46"/>
    </row>
    <row r="211" spans="1:16" ht="18.75" x14ac:dyDescent="0.25">
      <c r="A211" s="148"/>
      <c r="B211" s="149"/>
      <c r="C211" s="149"/>
      <c r="D211" s="155"/>
      <c r="E211" s="159" t="s">
        <v>85</v>
      </c>
      <c r="F211" s="155"/>
      <c r="G211" s="153"/>
      <c r="H211" s="249" t="s">
        <v>79</v>
      </c>
      <c r="I211" s="169">
        <f ca="1">IFERROR(__xludf.DUMMYFUNCTION("IMPORTRANGE(""https://docs.google.com/spreadsheets/d/1eHaY18a8A9IcSdp1K8H6x8fbOy06t2VsZHhMHf-1x7Y/edit?usp=sharing"",""แผน!AK16"")"),2)</f>
        <v>2</v>
      </c>
      <c r="J211" s="250">
        <v>0</v>
      </c>
      <c r="K211" s="163">
        <f ca="1">IF(I211&gt;0,J211*100/I211,0)</f>
        <v>0</v>
      </c>
      <c r="L211" s="46"/>
      <c r="M211" s="46"/>
      <c r="N211" s="46"/>
      <c r="O211" s="46"/>
      <c r="P211" s="46"/>
    </row>
    <row r="212" spans="1:16" ht="18.75" x14ac:dyDescent="0.25">
      <c r="A212" s="148"/>
      <c r="B212" s="149"/>
      <c r="C212" s="149"/>
      <c r="D212" s="155"/>
      <c r="E212" s="159" t="s">
        <v>86</v>
      </c>
      <c r="F212" s="155"/>
      <c r="G212" s="155"/>
      <c r="H212" s="251" t="s">
        <v>87</v>
      </c>
      <c r="I212" s="169">
        <f ca="1">IFERROR(__xludf.DUMMYFUNCTION("IMPORTRANGE(""https://docs.google.com/spreadsheets/d/1eHaY18a8A9IcSdp1K8H6x8fbOy06t2VsZHhMHf-1x7Y/edit?usp=sharing"",""แผน!AK16"")"),2)</f>
        <v>2</v>
      </c>
      <c r="J212" s="250">
        <v>0</v>
      </c>
      <c r="K212" s="163">
        <f ca="1">IF(I212&gt;0,J212*100/I212,0)</f>
        <v>0</v>
      </c>
      <c r="L212" s="46"/>
      <c r="M212" s="46"/>
      <c r="N212" s="46"/>
      <c r="O212" s="46"/>
      <c r="P212" s="46"/>
    </row>
    <row r="213" spans="1:16" ht="19.5" x14ac:dyDescent="0.3">
      <c r="A213" s="233"/>
      <c r="B213" s="234"/>
      <c r="C213" s="235" t="s">
        <v>88</v>
      </c>
      <c r="D213" s="236"/>
      <c r="E213" s="236"/>
      <c r="F213" s="236"/>
      <c r="G213" s="237"/>
      <c r="H213" s="245" t="s">
        <v>79</v>
      </c>
      <c r="I213" s="239">
        <f ca="1">I220</f>
        <v>1</v>
      </c>
      <c r="J213" s="239">
        <f>J220</f>
        <v>0</v>
      </c>
      <c r="K213" s="240">
        <f ca="1">IF(I213&gt;0,J213*100/I213,0)</f>
        <v>0</v>
      </c>
      <c r="L213" s="241"/>
      <c r="M213" s="241"/>
      <c r="N213" s="241"/>
      <c r="O213" s="241"/>
      <c r="P213" s="241"/>
    </row>
    <row r="214" spans="1:16" ht="19.5" x14ac:dyDescent="0.3">
      <c r="A214" s="136"/>
      <c r="B214" s="41"/>
      <c r="C214" s="197" t="s">
        <v>16</v>
      </c>
      <c r="D214" s="400" t="s">
        <v>17</v>
      </c>
      <c r="E214" s="41"/>
      <c r="F214" s="41"/>
      <c r="G214" s="43"/>
      <c r="H214" s="243" t="s">
        <v>12</v>
      </c>
      <c r="I214" s="144"/>
      <c r="J214" s="144"/>
      <c r="K214" s="145"/>
      <c r="L214" s="140">
        <f ca="1">L215+L216+L217</f>
        <v>14000</v>
      </c>
      <c r="M214" s="46"/>
      <c r="N214" s="140">
        <f>N215+N216+N217</f>
        <v>0</v>
      </c>
      <c r="O214" s="140">
        <f ca="1">IF(L214&gt;0,N214*100/L214,0)</f>
        <v>0</v>
      </c>
      <c r="P214" s="140">
        <f>IF(M214&gt;0,N214*100/M214,0)</f>
        <v>0</v>
      </c>
    </row>
    <row r="215" spans="1:16" ht="18.75" x14ac:dyDescent="0.25">
      <c r="A215" s="136"/>
      <c r="B215" s="228"/>
      <c r="C215" s="41"/>
      <c r="D215" s="254" t="s">
        <v>80</v>
      </c>
      <c r="E215" s="41"/>
      <c r="F215" s="41"/>
      <c r="G215" s="43"/>
      <c r="H215" s="143" t="s">
        <v>12</v>
      </c>
      <c r="I215" s="144"/>
      <c r="J215" s="144"/>
      <c r="K215" s="145"/>
      <c r="L215" s="47">
        <f ca="1">IFERROR(__xludf.DUMMYFUNCTION("IMPORTRANGE(""https://docs.google.com/spreadsheets/d/1eHaY18a8A9IcSdp1K8H6x8fbOy06t2VsZHhMHf-1x7Y/edit?usp=sharing"",""แผน!AM16"")"),1000)</f>
        <v>1000</v>
      </c>
      <c r="M215" s="46"/>
      <c r="N215" s="248">
        <v>0</v>
      </c>
      <c r="O215" s="145"/>
      <c r="P215" s="46"/>
    </row>
    <row r="216" spans="1:16" ht="18.75" x14ac:dyDescent="0.25">
      <c r="A216" s="227"/>
      <c r="B216" s="228"/>
      <c r="C216" s="228"/>
      <c r="D216" s="254" t="s">
        <v>89</v>
      </c>
      <c r="E216" s="41"/>
      <c r="F216" s="41"/>
      <c r="G216" s="43"/>
      <c r="H216" s="143" t="s">
        <v>12</v>
      </c>
      <c r="I216" s="45"/>
      <c r="J216" s="45"/>
      <c r="K216" s="46"/>
      <c r="L216" s="47">
        <f ca="1">IFERROR(__xludf.DUMMYFUNCTION("IMPORTRANGE(""https://docs.google.com/spreadsheets/d/1eHaY18a8A9IcSdp1K8H6x8fbOy06t2VsZHhMHf-1x7Y/edit?usp=sharing"",""แผน!AN16"")"),5000)</f>
        <v>5000</v>
      </c>
      <c r="M216" s="46"/>
      <c r="N216" s="248">
        <v>0</v>
      </c>
      <c r="O216" s="145"/>
      <c r="P216" s="46"/>
    </row>
    <row r="217" spans="1:16" ht="18.75" x14ac:dyDescent="0.25">
      <c r="A217" s="227"/>
      <c r="B217" s="228"/>
      <c r="C217" s="228"/>
      <c r="D217" s="254" t="s">
        <v>82</v>
      </c>
      <c r="E217" s="41"/>
      <c r="F217" s="41"/>
      <c r="G217" s="43"/>
      <c r="H217" s="143" t="s">
        <v>12</v>
      </c>
      <c r="I217" s="45"/>
      <c r="J217" s="45"/>
      <c r="K217" s="46"/>
      <c r="L217" s="47">
        <f ca="1">IFERROR(__xludf.DUMMYFUNCTION("IMPORTRANGE(""https://docs.google.com/spreadsheets/d/1eHaY18a8A9IcSdp1K8H6x8fbOy06t2VsZHhMHf-1x7Y/edit?usp=sharing"",""แผน!AO16"")"),8000)</f>
        <v>8000</v>
      </c>
      <c r="M217" s="46"/>
      <c r="N217" s="248">
        <v>0</v>
      </c>
      <c r="O217" s="145"/>
      <c r="P217" s="46"/>
    </row>
    <row r="218" spans="1:16" ht="19.5" x14ac:dyDescent="0.3">
      <c r="A218" s="148"/>
      <c r="B218" s="149"/>
      <c r="C218" s="252" t="s">
        <v>16</v>
      </c>
      <c r="D218" s="395" t="s">
        <v>36</v>
      </c>
      <c r="E218" s="151"/>
      <c r="F218" s="151"/>
      <c r="G218" s="152"/>
      <c r="H218" s="153"/>
      <c r="I218" s="144"/>
      <c r="J218" s="45"/>
      <c r="K218" s="46"/>
      <c r="L218" s="46"/>
      <c r="M218" s="46"/>
      <c r="N218" s="46"/>
      <c r="O218" s="145"/>
      <c r="P218" s="145"/>
    </row>
    <row r="219" spans="1:16" ht="18.75" x14ac:dyDescent="0.25">
      <c r="A219" s="148"/>
      <c r="B219" s="149"/>
      <c r="C219" s="149"/>
      <c r="D219" s="154" t="s">
        <v>90</v>
      </c>
      <c r="E219" s="155"/>
      <c r="F219" s="155"/>
      <c r="G219" s="153"/>
      <c r="H219" s="249" t="s">
        <v>79</v>
      </c>
      <c r="I219" s="169">
        <f ca="1">IFERROR(__xludf.DUMMYFUNCTION("IMPORTRANGE(""https://docs.google.com/spreadsheets/d/1eHaY18a8A9IcSdp1K8H6x8fbOy06t2VsZHhMHf-1x7Y/edit?usp=sharing"",""แผน!AP16"")"),1)</f>
        <v>1</v>
      </c>
      <c r="J219" s="250">
        <v>0</v>
      </c>
      <c r="K219" s="47">
        <f ca="1">IF(I219&gt;0,J219*100/I219,0)</f>
        <v>0</v>
      </c>
      <c r="L219" s="46"/>
      <c r="M219" s="46"/>
      <c r="N219" s="46"/>
      <c r="O219" s="46"/>
      <c r="P219" s="46"/>
    </row>
    <row r="220" spans="1:16" ht="18.75" x14ac:dyDescent="0.25">
      <c r="A220" s="148"/>
      <c r="B220" s="149"/>
      <c r="C220" s="149"/>
      <c r="D220" s="154" t="s">
        <v>91</v>
      </c>
      <c r="E220" s="155"/>
      <c r="F220" s="155"/>
      <c r="G220" s="153"/>
      <c r="H220" s="249" t="s">
        <v>79</v>
      </c>
      <c r="I220" s="169">
        <f ca="1">IFERROR(__xludf.DUMMYFUNCTION("IMPORTRANGE(""https://docs.google.com/spreadsheets/d/1eHaY18a8A9IcSdp1K8H6x8fbOy06t2VsZHhMHf-1x7Y/edit?usp=sharing"",""แผน!AP16"")"),1)</f>
        <v>1</v>
      </c>
      <c r="J220" s="250">
        <v>0</v>
      </c>
      <c r="K220" s="47">
        <f ca="1">IF(I220&gt;0,J220*100/I220,0)</f>
        <v>0</v>
      </c>
      <c r="L220" s="46"/>
      <c r="M220" s="46"/>
      <c r="N220" s="46"/>
      <c r="O220" s="46"/>
      <c r="P220" s="46"/>
    </row>
    <row r="221" spans="1:16" ht="19.5" x14ac:dyDescent="0.3">
      <c r="A221" s="233"/>
      <c r="B221" s="234"/>
      <c r="C221" s="235" t="s">
        <v>92</v>
      </c>
      <c r="D221" s="236"/>
      <c r="E221" s="236"/>
      <c r="F221" s="236"/>
      <c r="G221" s="237"/>
      <c r="H221" s="238" t="s">
        <v>93</v>
      </c>
      <c r="I221" s="239">
        <f ca="1">I229</f>
        <v>16000</v>
      </c>
      <c r="J221" s="239">
        <f>J229</f>
        <v>0</v>
      </c>
      <c r="K221" s="240">
        <f ca="1">IF(I221&gt;0,J221*100/I221,0)</f>
        <v>0</v>
      </c>
      <c r="L221" s="241"/>
      <c r="M221" s="241"/>
      <c r="N221" s="241"/>
      <c r="O221" s="241"/>
      <c r="P221" s="241"/>
    </row>
    <row r="222" spans="1:16" ht="19.5" x14ac:dyDescent="0.3">
      <c r="A222" s="136"/>
      <c r="B222" s="41"/>
      <c r="C222" s="197" t="s">
        <v>16</v>
      </c>
      <c r="D222" s="400" t="s">
        <v>17</v>
      </c>
      <c r="E222" s="41"/>
      <c r="F222" s="41"/>
      <c r="G222" s="43"/>
      <c r="H222" s="243" t="s">
        <v>12</v>
      </c>
      <c r="I222" s="144"/>
      <c r="J222" s="144"/>
      <c r="K222" s="145"/>
      <c r="L222" s="140">
        <f ca="1">L223+L224+L225</f>
        <v>4500</v>
      </c>
      <c r="M222" s="46"/>
      <c r="N222" s="140">
        <f>N223+N224+N225</f>
        <v>0</v>
      </c>
      <c r="O222" s="140">
        <f ca="1">IF(L222&gt;0,N222*100/L222,0)</f>
        <v>0</v>
      </c>
      <c r="P222" s="140">
        <f>IF(M222&gt;0,N222*100/M222,0)</f>
        <v>0</v>
      </c>
    </row>
    <row r="223" spans="1:16" ht="18.75" x14ac:dyDescent="0.25">
      <c r="A223" s="136"/>
      <c r="B223" s="228"/>
      <c r="C223" s="41"/>
      <c r="D223" s="253" t="s">
        <v>94</v>
      </c>
      <c r="E223" s="41"/>
      <c r="F223" s="41"/>
      <c r="G223" s="43"/>
      <c r="H223" s="143" t="s">
        <v>12</v>
      </c>
      <c r="I223" s="144"/>
      <c r="J223" s="144"/>
      <c r="K223" s="145"/>
      <c r="L223" s="47">
        <f ca="1">IFERROR(__xludf.DUMMYFUNCTION("IMPORTRANGE(""https://docs.google.com/spreadsheets/d/1eHaY18a8A9IcSdp1K8H6x8fbOy06t2VsZHhMHf-1x7Y/edit?usp=sharing"",""แผน!AR16"")"),3000)</f>
        <v>3000</v>
      </c>
      <c r="M223" s="46"/>
      <c r="N223" s="248">
        <v>0</v>
      </c>
      <c r="O223" s="145"/>
      <c r="P223" s="46"/>
    </row>
    <row r="224" spans="1:16" ht="18.75" x14ac:dyDescent="0.25">
      <c r="A224" s="227"/>
      <c r="B224" s="228"/>
      <c r="C224" s="228"/>
      <c r="D224" s="254" t="s">
        <v>95</v>
      </c>
      <c r="E224" s="41"/>
      <c r="F224" s="41"/>
      <c r="G224" s="43"/>
      <c r="H224" s="143" t="s">
        <v>12</v>
      </c>
      <c r="I224" s="45"/>
      <c r="J224" s="45"/>
      <c r="K224" s="46"/>
      <c r="L224" s="47">
        <f ca="1">IFERROR(__xludf.DUMMYFUNCTION("IMPORTRANGE(""https://docs.google.com/spreadsheets/d/1eHaY18a8A9IcSdp1K8H6x8fbOy06t2VsZHhMHf-1x7Y/edit?usp=sharing"",""แผน!AS16"")"),1500)</f>
        <v>1500</v>
      </c>
      <c r="M224" s="46"/>
      <c r="N224" s="248">
        <v>0</v>
      </c>
      <c r="O224" s="145"/>
      <c r="P224" s="46"/>
    </row>
    <row r="225" spans="1:16" ht="18.75" x14ac:dyDescent="0.25">
      <c r="A225" s="227"/>
      <c r="B225" s="228"/>
      <c r="C225" s="228"/>
      <c r="D225" s="254" t="s">
        <v>82</v>
      </c>
      <c r="E225" s="41"/>
      <c r="F225" s="41"/>
      <c r="G225" s="43"/>
      <c r="H225" s="143" t="s">
        <v>12</v>
      </c>
      <c r="I225" s="45"/>
      <c r="J225" s="45"/>
      <c r="K225" s="46"/>
      <c r="L225" s="47">
        <f ca="1">IFERROR(__xludf.DUMMYFUNCTION("IMPORTRANGE(""https://docs.google.com/spreadsheets/d/1eHaY18a8A9IcSdp1K8H6x8fbOy06t2VsZHhMHf-1x7Y/edit?usp=sharing"",""แผน!AT16"")"),0)</f>
        <v>0</v>
      </c>
      <c r="M225" s="46"/>
      <c r="N225" s="248">
        <v>0</v>
      </c>
      <c r="O225" s="145"/>
      <c r="P225" s="46"/>
    </row>
    <row r="226" spans="1:16" ht="19.5" x14ac:dyDescent="0.3">
      <c r="A226" s="148"/>
      <c r="B226" s="149"/>
      <c r="C226" s="252" t="s">
        <v>16</v>
      </c>
      <c r="D226" s="395" t="s">
        <v>36</v>
      </c>
      <c r="E226" s="151"/>
      <c r="F226" s="151"/>
      <c r="G226" s="152"/>
      <c r="H226" s="153"/>
      <c r="I226" s="144"/>
      <c r="J226" s="144"/>
      <c r="K226" s="145"/>
      <c r="L226" s="145"/>
      <c r="M226" s="145"/>
      <c r="N226" s="145"/>
      <c r="O226" s="145"/>
      <c r="P226" s="145"/>
    </row>
    <row r="227" spans="1:16" ht="18.75" x14ac:dyDescent="0.25">
      <c r="A227" s="148"/>
      <c r="B227" s="149"/>
      <c r="C227" s="149"/>
      <c r="D227" s="254" t="s">
        <v>96</v>
      </c>
      <c r="E227" s="155"/>
      <c r="F227" s="155"/>
      <c r="G227" s="153"/>
      <c r="H227" s="153"/>
      <c r="I227" s="45"/>
      <c r="J227" s="45"/>
      <c r="K227" s="145"/>
      <c r="L227" s="145"/>
      <c r="M227" s="145"/>
      <c r="N227" s="145"/>
      <c r="O227" s="145"/>
      <c r="P227" s="145"/>
    </row>
    <row r="228" spans="1:16" ht="18.75" x14ac:dyDescent="0.25">
      <c r="A228" s="148"/>
      <c r="B228" s="149"/>
      <c r="C228" s="149"/>
      <c r="D228" s="149"/>
      <c r="E228" s="154" t="s">
        <v>97</v>
      </c>
      <c r="F228" s="155"/>
      <c r="G228" s="153"/>
      <c r="H228" s="251" t="s">
        <v>93</v>
      </c>
      <c r="I228" s="169">
        <f ca="1">IFERROR(__xludf.DUMMYFUNCTION("IMPORTRANGE(""https://docs.google.com/spreadsheets/d/1eHaY18a8A9IcSdp1K8H6x8fbOy06t2VsZHhMHf-1x7Y/edit?usp=sharing"",""แผน!AV16"")"),16000)</f>
        <v>16000</v>
      </c>
      <c r="J228" s="250">
        <v>0</v>
      </c>
      <c r="K228" s="163">
        <f ca="1">IF(I228&gt;0,J228*100/I228,0)</f>
        <v>0</v>
      </c>
      <c r="L228" s="145"/>
      <c r="M228" s="145"/>
      <c r="N228" s="145"/>
      <c r="O228" s="145"/>
      <c r="P228" s="145"/>
    </row>
    <row r="229" spans="1:16" ht="18.75" x14ac:dyDescent="0.25">
      <c r="A229" s="148"/>
      <c r="B229" s="149"/>
      <c r="C229" s="149"/>
      <c r="D229" s="149"/>
      <c r="E229" s="154" t="s">
        <v>98</v>
      </c>
      <c r="F229" s="155"/>
      <c r="G229" s="153"/>
      <c r="H229" s="251" t="s">
        <v>93</v>
      </c>
      <c r="I229" s="169">
        <f ca="1">IFERROR(__xludf.DUMMYFUNCTION("IMPORTRANGE(""https://docs.google.com/spreadsheets/d/1eHaY18a8A9IcSdp1K8H6x8fbOy06t2VsZHhMHf-1x7Y/edit?usp=sharing"",""แผน!AV16"")"),16000)</f>
        <v>16000</v>
      </c>
      <c r="J229" s="250">
        <v>0</v>
      </c>
      <c r="K229" s="163">
        <f ca="1">IF(I229&gt;0,J229*100/I229,0)</f>
        <v>0</v>
      </c>
      <c r="L229" s="46"/>
      <c r="M229" s="46"/>
      <c r="N229" s="46"/>
      <c r="O229" s="46"/>
      <c r="P229" s="46"/>
    </row>
    <row r="230" spans="1:16" ht="18.75" x14ac:dyDescent="0.25">
      <c r="A230" s="148"/>
      <c r="B230" s="149"/>
      <c r="C230" s="149"/>
      <c r="D230" s="254" t="s">
        <v>99</v>
      </c>
      <c r="E230" s="155"/>
      <c r="F230" s="155"/>
      <c r="G230" s="153"/>
      <c r="H230" s="251" t="s">
        <v>33</v>
      </c>
      <c r="I230" s="169">
        <f ca="1">IFERROR(__xludf.DUMMYFUNCTION("IMPORTRANGE(""https://docs.google.com/spreadsheets/d/1eHaY18a8A9IcSdp1K8H6x8fbOy06t2VsZHhMHf-1x7Y/edit?usp=sharing"",""แผน!AU16"")"),0)</f>
        <v>0</v>
      </c>
      <c r="J230" s="250">
        <v>0</v>
      </c>
      <c r="K230" s="163">
        <f ca="1">IF(I230&gt;0,J230*100/I230,0)</f>
        <v>0</v>
      </c>
      <c r="L230" s="46"/>
      <c r="M230" s="46"/>
      <c r="N230" s="46"/>
      <c r="O230" s="46"/>
      <c r="P230" s="46"/>
    </row>
    <row r="231" spans="1:16" ht="19.5" hidden="1" x14ac:dyDescent="0.3">
      <c r="A231" s="464"/>
      <c r="B231" s="463"/>
      <c r="C231" s="256" t="s">
        <v>100</v>
      </c>
      <c r="D231" s="462"/>
      <c r="E231" s="462"/>
      <c r="F231" s="462"/>
      <c r="G231" s="461"/>
      <c r="H231" s="257" t="s">
        <v>33</v>
      </c>
      <c r="I231" s="258">
        <f ca="1">I242+I253</f>
        <v>60</v>
      </c>
      <c r="J231" s="258">
        <f>J242+J253</f>
        <v>0</v>
      </c>
      <c r="K231" s="259">
        <f ca="1">IF(I231&gt;0,J231*100/I231,0)</f>
        <v>0</v>
      </c>
      <c r="L231" s="460"/>
      <c r="M231" s="460"/>
      <c r="N231" s="460"/>
      <c r="O231" s="460"/>
      <c r="P231" s="460"/>
    </row>
    <row r="232" spans="1:16" ht="19.5" hidden="1" x14ac:dyDescent="0.3">
      <c r="A232" s="459"/>
      <c r="B232" s="456"/>
      <c r="C232" s="260" t="s">
        <v>16</v>
      </c>
      <c r="D232" s="261" t="s">
        <v>17</v>
      </c>
      <c r="E232" s="456"/>
      <c r="F232" s="456"/>
      <c r="G232" s="455"/>
      <c r="H232" s="262" t="s">
        <v>12</v>
      </c>
      <c r="I232" s="452"/>
      <c r="J232" s="452"/>
      <c r="K232" s="450"/>
      <c r="L232" s="263">
        <f ca="1">L243+L254</f>
        <v>367900</v>
      </c>
      <c r="M232" s="445"/>
      <c r="N232" s="263">
        <f>N243+N254</f>
        <v>0</v>
      </c>
      <c r="O232" s="445"/>
      <c r="P232" s="445"/>
    </row>
    <row r="233" spans="1:16" ht="18.75" hidden="1" x14ac:dyDescent="0.25">
      <c r="A233" s="459"/>
      <c r="B233" s="457"/>
      <c r="C233" s="456"/>
      <c r="D233" s="405" t="s">
        <v>153</v>
      </c>
      <c r="E233" s="456"/>
      <c r="F233" s="456"/>
      <c r="G233" s="455"/>
      <c r="H233" s="146" t="s">
        <v>12</v>
      </c>
      <c r="I233" s="452"/>
      <c r="J233" s="452"/>
      <c r="K233" s="450"/>
      <c r="L233" s="50">
        <f ca="1">L244+L255</f>
        <v>205400</v>
      </c>
      <c r="M233" s="445"/>
      <c r="N233" s="50">
        <f>N244+N255</f>
        <v>0</v>
      </c>
      <c r="O233" s="445"/>
      <c r="P233" s="445"/>
    </row>
    <row r="234" spans="1:16" ht="18.75" hidden="1" x14ac:dyDescent="0.25">
      <c r="A234" s="458"/>
      <c r="B234" s="457"/>
      <c r="C234" s="457"/>
      <c r="D234" s="405" t="s">
        <v>81</v>
      </c>
      <c r="E234" s="456"/>
      <c r="F234" s="456"/>
      <c r="G234" s="455"/>
      <c r="H234" s="146" t="s">
        <v>12</v>
      </c>
      <c r="I234" s="451"/>
      <c r="J234" s="451"/>
      <c r="K234" s="445"/>
      <c r="L234" s="50">
        <f ca="1">L245+L256</f>
        <v>5000</v>
      </c>
      <c r="M234" s="445"/>
      <c r="N234" s="50">
        <f>N245+N256</f>
        <v>0</v>
      </c>
      <c r="O234" s="445"/>
      <c r="P234" s="445"/>
    </row>
    <row r="235" spans="1:16" ht="18.75" hidden="1" x14ac:dyDescent="0.25">
      <c r="A235" s="458"/>
      <c r="B235" s="457"/>
      <c r="C235" s="457"/>
      <c r="D235" s="405" t="s">
        <v>82</v>
      </c>
      <c r="E235" s="456"/>
      <c r="F235" s="456"/>
      <c r="G235" s="455"/>
      <c r="H235" s="146" t="s">
        <v>12</v>
      </c>
      <c r="I235" s="451"/>
      <c r="J235" s="451"/>
      <c r="K235" s="445"/>
      <c r="L235" s="50">
        <f ca="1">L246+L257</f>
        <v>80500</v>
      </c>
      <c r="M235" s="445"/>
      <c r="N235" s="50">
        <f>N246+N257</f>
        <v>0</v>
      </c>
      <c r="O235" s="445"/>
      <c r="P235" s="445"/>
    </row>
    <row r="236" spans="1:16" ht="18.75" hidden="1" x14ac:dyDescent="0.25">
      <c r="A236" s="458"/>
      <c r="B236" s="457"/>
      <c r="C236" s="457"/>
      <c r="D236" s="405" t="s">
        <v>83</v>
      </c>
      <c r="E236" s="456"/>
      <c r="F236" s="456"/>
      <c r="G236" s="455"/>
      <c r="H236" s="146" t="s">
        <v>12</v>
      </c>
      <c r="I236" s="451"/>
      <c r="J236" s="451"/>
      <c r="K236" s="445"/>
      <c r="L236" s="50">
        <f ca="1">L247+L258</f>
        <v>77000</v>
      </c>
      <c r="M236" s="445"/>
      <c r="N236" s="50">
        <f>N247+N258</f>
        <v>0</v>
      </c>
      <c r="O236" s="445"/>
      <c r="P236" s="445"/>
    </row>
    <row r="237" spans="1:16" ht="19.5" hidden="1" x14ac:dyDescent="0.3">
      <c r="A237" s="449"/>
      <c r="B237" s="448"/>
      <c r="C237" s="265" t="s">
        <v>16</v>
      </c>
      <c r="D237" s="394" t="s">
        <v>36</v>
      </c>
      <c r="E237" s="454"/>
      <c r="F237" s="454"/>
      <c r="G237" s="453"/>
      <c r="H237" s="446"/>
      <c r="I237" s="452"/>
      <c r="J237" s="451"/>
      <c r="K237" s="445"/>
      <c r="L237" s="445"/>
      <c r="M237" s="445"/>
      <c r="N237" s="445"/>
      <c r="O237" s="450"/>
      <c r="P237" s="450"/>
    </row>
    <row r="238" spans="1:16" ht="18.75" hidden="1" x14ac:dyDescent="0.25">
      <c r="A238" s="449"/>
      <c r="B238" s="448"/>
      <c r="C238" s="448"/>
      <c r="D238" s="267" t="s">
        <v>103</v>
      </c>
      <c r="E238" s="447"/>
      <c r="F238" s="447"/>
      <c r="G238" s="446"/>
      <c r="H238" s="268" t="s">
        <v>33</v>
      </c>
      <c r="I238" s="200">
        <f ca="1">I249+I260</f>
        <v>60</v>
      </c>
      <c r="J238" s="200">
        <f>J249+J260</f>
        <v>0</v>
      </c>
      <c r="K238" s="50">
        <f ca="1">IF(I238&gt;0,J238*100/I238,0)</f>
        <v>0</v>
      </c>
      <c r="L238" s="445"/>
      <c r="M238" s="445"/>
      <c r="N238" s="445"/>
      <c r="O238" s="445"/>
      <c r="P238" s="445"/>
    </row>
    <row r="239" spans="1:16" ht="18.75" hidden="1" x14ac:dyDescent="0.25">
      <c r="A239" s="449"/>
      <c r="B239" s="448"/>
      <c r="C239" s="448"/>
      <c r="D239" s="269" t="s">
        <v>41</v>
      </c>
      <c r="E239" s="447"/>
      <c r="F239" s="447"/>
      <c r="G239" s="446"/>
      <c r="H239" s="446"/>
      <c r="I239" s="451"/>
      <c r="J239" s="451"/>
      <c r="K239" s="445"/>
      <c r="L239" s="445"/>
      <c r="M239" s="445"/>
      <c r="N239" s="445"/>
      <c r="O239" s="450"/>
      <c r="P239" s="450"/>
    </row>
    <row r="240" spans="1:16" ht="18.75" hidden="1" x14ac:dyDescent="0.25">
      <c r="A240" s="449"/>
      <c r="B240" s="448"/>
      <c r="C240" s="448"/>
      <c r="D240" s="448"/>
      <c r="E240" s="270" t="s">
        <v>104</v>
      </c>
      <c r="F240" s="447"/>
      <c r="G240" s="446"/>
      <c r="H240" s="268" t="s">
        <v>33</v>
      </c>
      <c r="I240" s="200">
        <f>I251+I262</f>
        <v>0</v>
      </c>
      <c r="J240" s="200">
        <f>J251+J262</f>
        <v>0</v>
      </c>
      <c r="K240" s="50">
        <f>IF(I240&gt;0,J240*100/I240,0)</f>
        <v>0</v>
      </c>
      <c r="L240" s="445"/>
      <c r="M240" s="445"/>
      <c r="N240" s="445"/>
      <c r="O240" s="445"/>
      <c r="P240" s="445"/>
    </row>
    <row r="241" spans="1:16" ht="18.75" hidden="1" x14ac:dyDescent="0.25">
      <c r="A241" s="449"/>
      <c r="B241" s="448"/>
      <c r="C241" s="448"/>
      <c r="D241" s="448"/>
      <c r="E241" s="270" t="s">
        <v>105</v>
      </c>
      <c r="F241" s="447"/>
      <c r="G241" s="446"/>
      <c r="H241" s="268" t="s">
        <v>54</v>
      </c>
      <c r="I241" s="200">
        <f>I252+I263</f>
        <v>0</v>
      </c>
      <c r="J241" s="200">
        <f>J252+J263</f>
        <v>0</v>
      </c>
      <c r="K241" s="50">
        <f>IF(I241&gt;0,J241*100/I241,0)</f>
        <v>0</v>
      </c>
      <c r="L241" s="445"/>
      <c r="M241" s="445"/>
      <c r="N241" s="445"/>
      <c r="O241" s="445"/>
      <c r="P241" s="445"/>
    </row>
    <row r="242" spans="1:16" ht="19.5" x14ac:dyDescent="0.3">
      <c r="A242" s="444"/>
      <c r="B242" s="443"/>
      <c r="C242" s="442" t="s">
        <v>155</v>
      </c>
      <c r="D242" s="441"/>
      <c r="E242" s="441"/>
      <c r="F242" s="441"/>
      <c r="G242" s="440"/>
      <c r="H242" s="439" t="s">
        <v>33</v>
      </c>
      <c r="I242" s="438">
        <f ca="1">I249</f>
        <v>60</v>
      </c>
      <c r="J242" s="438">
        <f>J249</f>
        <v>0</v>
      </c>
      <c r="K242" s="437">
        <f ca="1">IF(I242&gt;0,J242*100/I242,0)</f>
        <v>0</v>
      </c>
      <c r="L242" s="436"/>
      <c r="M242" s="436"/>
      <c r="N242" s="436"/>
      <c r="O242" s="436"/>
      <c r="P242" s="436"/>
    </row>
    <row r="243" spans="1:16" ht="19.5" x14ac:dyDescent="0.3">
      <c r="A243" s="431"/>
      <c r="B243" s="428"/>
      <c r="C243" s="435" t="s">
        <v>16</v>
      </c>
      <c r="D243" s="434" t="s">
        <v>17</v>
      </c>
      <c r="E243" s="428"/>
      <c r="F243" s="428"/>
      <c r="G243" s="427"/>
      <c r="H243" s="433" t="s">
        <v>12</v>
      </c>
      <c r="I243" s="420"/>
      <c r="J243" s="420"/>
      <c r="K243" s="416"/>
      <c r="L243" s="432">
        <f ca="1">L244+L245+L246+L247</f>
        <v>367900</v>
      </c>
      <c r="M243" s="406"/>
      <c r="N243" s="432">
        <f>N244+N245+N246+N247</f>
        <v>0</v>
      </c>
      <c r="O243" s="432">
        <f ca="1">IF(L243&gt;0,N243*100/L243,0)</f>
        <v>0</v>
      </c>
      <c r="P243" s="432">
        <f>IF(M243&gt;0,N243*100/M243,0)</f>
        <v>0</v>
      </c>
    </row>
    <row r="244" spans="1:16" ht="18.75" x14ac:dyDescent="0.25">
      <c r="A244" s="431"/>
      <c r="B244" s="429"/>
      <c r="C244" s="428"/>
      <c r="D244" s="405" t="s">
        <v>153</v>
      </c>
      <c r="E244" s="428"/>
      <c r="F244" s="428"/>
      <c r="G244" s="427"/>
      <c r="H244" s="426" t="s">
        <v>12</v>
      </c>
      <c r="I244" s="420"/>
      <c r="J244" s="420"/>
      <c r="K244" s="416"/>
      <c r="L244" s="407">
        <f ca="1">IFERROR(__xludf.DUMMYFUNCTION("IMPORTRANGE(""https://docs.google.com/spreadsheets/d/1eHaY18a8A9IcSdp1K8H6x8fbOy06t2VsZHhMHf-1x7Y/edit?usp=sharing"",""แผน!AX16"")"),205400)</f>
        <v>205400</v>
      </c>
      <c r="M244" s="406"/>
      <c r="N244" s="425">
        <v>0</v>
      </c>
      <c r="O244" s="406"/>
      <c r="P244" s="406"/>
    </row>
    <row r="245" spans="1:16" ht="18.75" x14ac:dyDescent="0.25">
      <c r="A245" s="430"/>
      <c r="B245" s="429"/>
      <c r="C245" s="429"/>
      <c r="D245" s="405" t="s">
        <v>81</v>
      </c>
      <c r="E245" s="428"/>
      <c r="F245" s="428"/>
      <c r="G245" s="427"/>
      <c r="H245" s="426" t="s">
        <v>12</v>
      </c>
      <c r="I245" s="417"/>
      <c r="J245" s="417"/>
      <c r="K245" s="406"/>
      <c r="L245" s="407">
        <f ca="1">IFERROR(__xludf.DUMMYFUNCTION("IMPORTRANGE(""https://docs.google.com/spreadsheets/d/1eHaY18a8A9IcSdp1K8H6x8fbOy06t2VsZHhMHf-1x7Y/edit?usp=sharing"",""แผน!AY16"")"),5000)</f>
        <v>5000</v>
      </c>
      <c r="M245" s="406"/>
      <c r="N245" s="425">
        <v>0</v>
      </c>
      <c r="O245" s="406"/>
      <c r="P245" s="406"/>
    </row>
    <row r="246" spans="1:16" ht="18.75" x14ac:dyDescent="0.25">
      <c r="A246" s="430"/>
      <c r="B246" s="429"/>
      <c r="C246" s="429"/>
      <c r="D246" s="405" t="s">
        <v>82</v>
      </c>
      <c r="E246" s="428"/>
      <c r="F246" s="428"/>
      <c r="G246" s="427"/>
      <c r="H246" s="426" t="s">
        <v>12</v>
      </c>
      <c r="I246" s="417"/>
      <c r="J246" s="417"/>
      <c r="K246" s="406"/>
      <c r="L246" s="407">
        <f ca="1">IFERROR(__xludf.DUMMYFUNCTION("IMPORTRANGE(""https://docs.google.com/spreadsheets/d/1eHaY18a8A9IcSdp1K8H6x8fbOy06t2VsZHhMHf-1x7Y/edit?usp=sharing"",""แผน!AZ16"")"),80500)</f>
        <v>80500</v>
      </c>
      <c r="M246" s="406"/>
      <c r="N246" s="425">
        <v>0</v>
      </c>
      <c r="O246" s="406"/>
      <c r="P246" s="406"/>
    </row>
    <row r="247" spans="1:16" ht="18.75" x14ac:dyDescent="0.25">
      <c r="A247" s="430"/>
      <c r="B247" s="429"/>
      <c r="C247" s="429"/>
      <c r="D247" s="405" t="s">
        <v>83</v>
      </c>
      <c r="E247" s="428"/>
      <c r="F247" s="428"/>
      <c r="G247" s="427"/>
      <c r="H247" s="426" t="s">
        <v>12</v>
      </c>
      <c r="I247" s="417"/>
      <c r="J247" s="417"/>
      <c r="K247" s="406"/>
      <c r="L247" s="407">
        <f ca="1">IFERROR(__xludf.DUMMYFUNCTION("IMPORTRANGE(""https://docs.google.com/spreadsheets/d/1eHaY18a8A9IcSdp1K8H6x8fbOy06t2VsZHhMHf-1x7Y/edit?usp=sharing"",""แผน!BA16"")"),77000)</f>
        <v>77000</v>
      </c>
      <c r="M247" s="406"/>
      <c r="N247" s="425">
        <v>0</v>
      </c>
      <c r="O247" s="406"/>
      <c r="P247" s="406"/>
    </row>
    <row r="248" spans="1:16" ht="19.5" x14ac:dyDescent="0.3">
      <c r="A248" s="415"/>
      <c r="B248" s="414"/>
      <c r="C248" s="424" t="s">
        <v>16</v>
      </c>
      <c r="D248" s="423" t="s">
        <v>36</v>
      </c>
      <c r="E248" s="422"/>
      <c r="F248" s="422"/>
      <c r="G248" s="421"/>
      <c r="H248" s="411"/>
      <c r="I248" s="420"/>
      <c r="J248" s="417"/>
      <c r="K248" s="406"/>
      <c r="L248" s="406"/>
      <c r="M248" s="406"/>
      <c r="N248" s="406"/>
      <c r="O248" s="416"/>
      <c r="P248" s="416"/>
    </row>
    <row r="249" spans="1:16" ht="18.75" x14ac:dyDescent="0.25">
      <c r="A249" s="415"/>
      <c r="B249" s="414"/>
      <c r="C249" s="414"/>
      <c r="D249" s="419" t="s">
        <v>103</v>
      </c>
      <c r="E249" s="412"/>
      <c r="F249" s="412"/>
      <c r="G249" s="411"/>
      <c r="H249" s="410" t="s">
        <v>33</v>
      </c>
      <c r="I249" s="409">
        <f ca="1">IFERROR(__xludf.DUMMYFUNCTION("IMPORTRANGE(""https://docs.google.com/spreadsheets/d/1eHaY18a8A9IcSdp1K8H6x8fbOy06t2VsZHhMHf-1x7Y/edit?usp=sharing"",""แผน!BG16"")"),60)</f>
        <v>60</v>
      </c>
      <c r="J249" s="408">
        <v>0</v>
      </c>
      <c r="K249" s="407">
        <f ca="1">IF(I249&gt;0,J249*100/I249,0)</f>
        <v>0</v>
      </c>
      <c r="L249" s="406"/>
      <c r="M249" s="406"/>
      <c r="N249" s="406"/>
      <c r="O249" s="406"/>
      <c r="P249" s="406"/>
    </row>
    <row r="250" spans="1:16" ht="18.75" x14ac:dyDescent="0.25">
      <c r="A250" s="415"/>
      <c r="B250" s="414"/>
      <c r="C250" s="414"/>
      <c r="D250" s="418" t="s">
        <v>41</v>
      </c>
      <c r="E250" s="412"/>
      <c r="F250" s="412"/>
      <c r="G250" s="411"/>
      <c r="H250" s="411"/>
      <c r="I250" s="417"/>
      <c r="J250" s="417"/>
      <c r="K250" s="406"/>
      <c r="L250" s="406"/>
      <c r="M250" s="406"/>
      <c r="N250" s="406"/>
      <c r="O250" s="416"/>
      <c r="P250" s="416"/>
    </row>
    <row r="251" spans="1:16" ht="18.75" x14ac:dyDescent="0.25">
      <c r="A251" s="415"/>
      <c r="B251" s="414"/>
      <c r="C251" s="414"/>
      <c r="D251" s="414"/>
      <c r="E251" s="413" t="s">
        <v>104</v>
      </c>
      <c r="F251" s="412"/>
      <c r="G251" s="411"/>
      <c r="H251" s="410" t="s">
        <v>33</v>
      </c>
      <c r="I251" s="409">
        <v>0</v>
      </c>
      <c r="J251" s="408">
        <v>0</v>
      </c>
      <c r="K251" s="407">
        <f>IF(I251&gt;0,J251*100/I251,0)</f>
        <v>0</v>
      </c>
      <c r="L251" s="406"/>
      <c r="M251" s="406"/>
      <c r="N251" s="406"/>
      <c r="O251" s="406"/>
      <c r="P251" s="406"/>
    </row>
    <row r="252" spans="1:16" ht="18.75" x14ac:dyDescent="0.25">
      <c r="A252" s="415"/>
      <c r="B252" s="414"/>
      <c r="C252" s="414"/>
      <c r="D252" s="414"/>
      <c r="E252" s="413" t="s">
        <v>105</v>
      </c>
      <c r="F252" s="412"/>
      <c r="G252" s="411"/>
      <c r="H252" s="410" t="s">
        <v>54</v>
      </c>
      <c r="I252" s="409">
        <v>0</v>
      </c>
      <c r="J252" s="408">
        <v>0</v>
      </c>
      <c r="K252" s="407">
        <f>IF(I252&gt;0,J252*100/I252,0)</f>
        <v>0</v>
      </c>
      <c r="L252" s="406"/>
      <c r="M252" s="406"/>
      <c r="N252" s="406"/>
      <c r="O252" s="406"/>
      <c r="P252" s="406"/>
    </row>
    <row r="253" spans="1:16" ht="19.5" hidden="1" x14ac:dyDescent="0.3">
      <c r="A253" s="233"/>
      <c r="B253" s="234"/>
      <c r="C253" s="256" t="s">
        <v>107</v>
      </c>
      <c r="D253" s="236"/>
      <c r="E253" s="236"/>
      <c r="F253" s="236"/>
      <c r="G253" s="237"/>
      <c r="H253" s="257" t="s">
        <v>33</v>
      </c>
      <c r="I253" s="258">
        <f ca="1">I260</f>
        <v>0</v>
      </c>
      <c r="J253" s="258">
        <f>J260</f>
        <v>0</v>
      </c>
      <c r="K253" s="259">
        <f ca="1">IF(I253&gt;0,J253*100/I253,0)</f>
        <v>0</v>
      </c>
      <c r="L253" s="241"/>
      <c r="M253" s="241"/>
      <c r="N253" s="241"/>
      <c r="O253" s="241"/>
      <c r="P253" s="241"/>
    </row>
    <row r="254" spans="1:16" ht="19.5" hidden="1" x14ac:dyDescent="0.3">
      <c r="A254" s="136"/>
      <c r="B254" s="41"/>
      <c r="C254" s="260" t="s">
        <v>16</v>
      </c>
      <c r="D254" s="399" t="s">
        <v>17</v>
      </c>
      <c r="E254" s="41"/>
      <c r="F254" s="41"/>
      <c r="G254" s="43"/>
      <c r="H254" s="262" t="s">
        <v>12</v>
      </c>
      <c r="I254" s="144"/>
      <c r="J254" s="144"/>
      <c r="K254" s="145"/>
      <c r="L254" s="263">
        <f ca="1">L255+L256+L257+L258</f>
        <v>0</v>
      </c>
      <c r="M254" s="46"/>
      <c r="N254" s="263">
        <f>N255+N256+N257+N258</f>
        <v>0</v>
      </c>
      <c r="O254" s="263">
        <f ca="1">IF(L254&gt;0,N254*100/L254,0)</f>
        <v>0</v>
      </c>
      <c r="P254" s="263">
        <f>IF(M254&gt;0,N254*100/M254,0)</f>
        <v>0</v>
      </c>
    </row>
    <row r="255" spans="1:16" ht="18.75" hidden="1" x14ac:dyDescent="0.25">
      <c r="A255" s="136"/>
      <c r="B255" s="228"/>
      <c r="C255" s="41"/>
      <c r="D255" s="405" t="s">
        <v>153</v>
      </c>
      <c r="E255" s="41"/>
      <c r="F255" s="41"/>
      <c r="G255" s="43"/>
      <c r="H255" s="146" t="s">
        <v>12</v>
      </c>
      <c r="I255" s="144"/>
      <c r="J255" s="144"/>
      <c r="K255" s="145"/>
      <c r="L255" s="50">
        <f ca="1">IFERROR(__xludf.DUMMYFUNCTION("IMPORTRANGE(""https://docs.google.com/spreadsheets/d/1eHaY18a8A9IcSdp1K8H6x8fbOy06t2VsZHhMHf-1x7Y/edit?usp=sharing"",""แผน!BB16"")"),0)</f>
        <v>0</v>
      </c>
      <c r="M255" s="46"/>
      <c r="N255" s="264">
        <v>0</v>
      </c>
      <c r="O255" s="46"/>
      <c r="P255" s="46"/>
    </row>
    <row r="256" spans="1:16" ht="18.75" hidden="1" x14ac:dyDescent="0.25">
      <c r="A256" s="227"/>
      <c r="B256" s="228"/>
      <c r="C256" s="228"/>
      <c r="D256" s="405" t="s">
        <v>81</v>
      </c>
      <c r="E256" s="41"/>
      <c r="F256" s="41"/>
      <c r="G256" s="43"/>
      <c r="H256" s="146" t="s">
        <v>12</v>
      </c>
      <c r="I256" s="45"/>
      <c r="J256" s="45"/>
      <c r="K256" s="46"/>
      <c r="L256" s="50">
        <f ca="1">IFERROR(__xludf.DUMMYFUNCTION("IMPORTRANGE(""https://docs.google.com/spreadsheets/d/1eHaY18a8A9IcSdp1K8H6x8fbOy06t2VsZHhMHf-1x7Y/edit?usp=sharing"",""แผน!BC16"")"),0)</f>
        <v>0</v>
      </c>
      <c r="M256" s="46"/>
      <c r="N256" s="264">
        <v>0</v>
      </c>
      <c r="O256" s="46"/>
      <c r="P256" s="46"/>
    </row>
    <row r="257" spans="1:16" ht="18.75" hidden="1" x14ac:dyDescent="0.25">
      <c r="A257" s="227"/>
      <c r="B257" s="228"/>
      <c r="C257" s="228"/>
      <c r="D257" s="405" t="s">
        <v>82</v>
      </c>
      <c r="E257" s="41"/>
      <c r="F257" s="41"/>
      <c r="G257" s="43"/>
      <c r="H257" s="146" t="s">
        <v>12</v>
      </c>
      <c r="I257" s="45"/>
      <c r="J257" s="45"/>
      <c r="K257" s="46"/>
      <c r="L257" s="50">
        <f ca="1">IFERROR(__xludf.DUMMYFUNCTION("IMPORTRANGE(""https://docs.google.com/spreadsheets/d/1eHaY18a8A9IcSdp1K8H6x8fbOy06t2VsZHhMHf-1x7Y/edit?usp=sharing"",""แผน!BD16"")"),0)</f>
        <v>0</v>
      </c>
      <c r="M257" s="46"/>
      <c r="N257" s="264">
        <v>0</v>
      </c>
      <c r="O257" s="46"/>
      <c r="P257" s="46"/>
    </row>
    <row r="258" spans="1:16" ht="18.75" hidden="1" x14ac:dyDescent="0.25">
      <c r="A258" s="227"/>
      <c r="B258" s="228"/>
      <c r="C258" s="228"/>
      <c r="D258" s="405" t="s">
        <v>83</v>
      </c>
      <c r="E258" s="41"/>
      <c r="F258" s="41"/>
      <c r="G258" s="43"/>
      <c r="H258" s="146" t="s">
        <v>12</v>
      </c>
      <c r="I258" s="45"/>
      <c r="J258" s="45"/>
      <c r="K258" s="46"/>
      <c r="L258" s="50">
        <f ca="1">IFERROR(__xludf.DUMMYFUNCTION("IMPORTRANGE(""https://docs.google.com/spreadsheets/d/1eHaY18a8A9IcSdp1K8H6x8fbOy06t2VsZHhMHf-1x7Y/edit?usp=sharing"",""แผน!BE16"")"),0)</f>
        <v>0</v>
      </c>
      <c r="M258" s="46"/>
      <c r="N258" s="264">
        <v>0</v>
      </c>
      <c r="O258" s="46"/>
      <c r="P258" s="46"/>
    </row>
    <row r="259" spans="1:16" ht="19.5" hidden="1" x14ac:dyDescent="0.3">
      <c r="A259" s="148"/>
      <c r="B259" s="149"/>
      <c r="C259" s="265" t="s">
        <v>16</v>
      </c>
      <c r="D259" s="394" t="s">
        <v>36</v>
      </c>
      <c r="E259" s="151"/>
      <c r="F259" s="151"/>
      <c r="G259" s="152"/>
      <c r="H259" s="153"/>
      <c r="I259" s="144"/>
      <c r="J259" s="45"/>
      <c r="K259" s="46"/>
      <c r="L259" s="46"/>
      <c r="M259" s="46"/>
      <c r="N259" s="46"/>
      <c r="O259" s="145"/>
      <c r="P259" s="145"/>
    </row>
    <row r="260" spans="1:16" ht="18.75" hidden="1" x14ac:dyDescent="0.25">
      <c r="A260" s="148"/>
      <c r="B260" s="149"/>
      <c r="C260" s="149"/>
      <c r="D260" s="267" t="s">
        <v>103</v>
      </c>
      <c r="E260" s="155"/>
      <c r="F260" s="155"/>
      <c r="G260" s="153"/>
      <c r="H260" s="268" t="s">
        <v>33</v>
      </c>
      <c r="I260" s="200">
        <f ca="1">IFERROR(__xludf.DUMMYFUNCTION("IMPORTRANGE(""https://docs.google.com/spreadsheets/d/1eHaY18a8A9IcSdp1K8H6x8fbOy06t2VsZHhMHf-1x7Y/edit?usp=sharing"",""แผน!BH16"")"),0)</f>
        <v>0</v>
      </c>
      <c r="J260" s="201">
        <v>0</v>
      </c>
      <c r="K260" s="50">
        <f ca="1">IF(I260&gt;0,J260*100/I260,0)</f>
        <v>0</v>
      </c>
      <c r="L260" s="46"/>
      <c r="M260" s="46"/>
      <c r="N260" s="46"/>
      <c r="O260" s="46"/>
      <c r="P260" s="46"/>
    </row>
    <row r="261" spans="1:16" ht="18.75" hidden="1" x14ac:dyDescent="0.25">
      <c r="A261" s="148"/>
      <c r="B261" s="149"/>
      <c r="C261" s="149"/>
      <c r="D261" s="269" t="s">
        <v>41</v>
      </c>
      <c r="E261" s="155"/>
      <c r="F261" s="155"/>
      <c r="G261" s="153"/>
      <c r="H261" s="153"/>
      <c r="I261" s="45"/>
      <c r="J261" s="45"/>
      <c r="K261" s="46"/>
      <c r="L261" s="46"/>
      <c r="M261" s="46"/>
      <c r="N261" s="46"/>
      <c r="O261" s="145"/>
      <c r="P261" s="145"/>
    </row>
    <row r="262" spans="1:16" ht="18.75" hidden="1" x14ac:dyDescent="0.25">
      <c r="A262" s="148"/>
      <c r="B262" s="149"/>
      <c r="C262" s="149"/>
      <c r="D262" s="149"/>
      <c r="E262" s="270" t="s">
        <v>104</v>
      </c>
      <c r="F262" s="155"/>
      <c r="G262" s="153"/>
      <c r="H262" s="268" t="s">
        <v>33</v>
      </c>
      <c r="I262" s="45"/>
      <c r="J262" s="201">
        <v>0</v>
      </c>
      <c r="K262" s="50">
        <f>IF(I262&gt;0,J262*100/I262,0)</f>
        <v>0</v>
      </c>
      <c r="L262" s="46"/>
      <c r="M262" s="46"/>
      <c r="N262" s="46"/>
      <c r="O262" s="46"/>
      <c r="P262" s="46"/>
    </row>
    <row r="263" spans="1:16" ht="18.75" hidden="1" x14ac:dyDescent="0.25">
      <c r="A263" s="148"/>
      <c r="B263" s="149"/>
      <c r="C263" s="149"/>
      <c r="D263" s="149"/>
      <c r="E263" s="270" t="s">
        <v>105</v>
      </c>
      <c r="F263" s="155"/>
      <c r="G263" s="153"/>
      <c r="H263" s="268" t="s">
        <v>54</v>
      </c>
      <c r="I263" s="45"/>
      <c r="J263" s="201">
        <v>0</v>
      </c>
      <c r="K263" s="50">
        <f>IF(I263&gt;0,J263*100/I263,0)</f>
        <v>0</v>
      </c>
      <c r="L263" s="46"/>
      <c r="M263" s="46"/>
      <c r="N263" s="46"/>
      <c r="O263" s="46"/>
      <c r="P263" s="46"/>
    </row>
    <row r="264" spans="1:16" ht="19.5" hidden="1" x14ac:dyDescent="0.3">
      <c r="A264" s="272" t="s">
        <v>108</v>
      </c>
      <c r="B264" s="215"/>
      <c r="C264" s="215"/>
      <c r="D264" s="216"/>
      <c r="E264" s="216"/>
      <c r="F264" s="216"/>
      <c r="G264" s="217"/>
      <c r="H264" s="217"/>
      <c r="I264" s="218"/>
      <c r="J264" s="218"/>
      <c r="K264" s="219"/>
      <c r="L264" s="219"/>
      <c r="M264" s="219"/>
      <c r="N264" s="219"/>
      <c r="O264" s="219"/>
      <c r="P264" s="219"/>
    </row>
    <row r="265" spans="1:16" ht="19.5" hidden="1" x14ac:dyDescent="0.3">
      <c r="A265" s="220"/>
      <c r="B265" s="273" t="s">
        <v>109</v>
      </c>
      <c r="C265" s="222"/>
      <c r="D265" s="151"/>
      <c r="E265" s="151"/>
      <c r="F265" s="151"/>
      <c r="G265" s="152"/>
      <c r="H265" s="274" t="s">
        <v>33</v>
      </c>
      <c r="I265" s="275">
        <f>I276</f>
        <v>0</v>
      </c>
      <c r="J265" s="275">
        <f>J276</f>
        <v>0</v>
      </c>
      <c r="K265" s="276">
        <f>IF(I265&gt;0,J265*100/I265,0)</f>
        <v>0</v>
      </c>
      <c r="L265" s="226"/>
      <c r="M265" s="226"/>
      <c r="N265" s="226"/>
      <c r="O265" s="226"/>
      <c r="P265" s="226"/>
    </row>
    <row r="266" spans="1:16" ht="19.5" hidden="1" x14ac:dyDescent="0.3">
      <c r="A266" s="136"/>
      <c r="B266" s="41"/>
      <c r="C266" s="260" t="s">
        <v>16</v>
      </c>
      <c r="D266" s="261" t="s">
        <v>17</v>
      </c>
      <c r="E266" s="41"/>
      <c r="F266" s="41"/>
      <c r="G266" s="43"/>
      <c r="H266" s="277" t="s">
        <v>12</v>
      </c>
      <c r="I266" s="45"/>
      <c r="J266" s="45"/>
      <c r="K266" s="46"/>
      <c r="L266" s="263">
        <f ca="1">L267+L268</f>
        <v>0</v>
      </c>
      <c r="M266" s="263">
        <f ca="1">M267+M268</f>
        <v>0</v>
      </c>
      <c r="N266" s="263">
        <f ca="1">N267+N268</f>
        <v>0</v>
      </c>
      <c r="O266" s="263">
        <f ca="1">IF(L266&gt;0,N266*100/L266,0)</f>
        <v>0</v>
      </c>
      <c r="P266" s="263">
        <f ca="1">IF(M266&gt;0,N266*100/M266,0)</f>
        <v>0</v>
      </c>
    </row>
    <row r="267" spans="1:16" ht="18.75" hidden="1" x14ac:dyDescent="0.25">
      <c r="A267" s="136"/>
      <c r="B267" s="41"/>
      <c r="C267" s="41"/>
      <c r="D267" s="41"/>
      <c r="E267" s="279" t="s">
        <v>18</v>
      </c>
      <c r="F267" s="41"/>
      <c r="G267" s="43"/>
      <c r="H267" s="141" t="s">
        <v>12</v>
      </c>
      <c r="I267" s="45"/>
      <c r="J267" s="45"/>
      <c r="K267" s="46"/>
      <c r="L267" s="50">
        <f>L270+L273</f>
        <v>0</v>
      </c>
      <c r="M267" s="50">
        <f>M270+M273</f>
        <v>0</v>
      </c>
      <c r="N267" s="50">
        <f>N270+N273</f>
        <v>0</v>
      </c>
      <c r="O267" s="50">
        <f>IF(L267&gt;0,N267*100/L267,0)</f>
        <v>0</v>
      </c>
      <c r="P267" s="50">
        <f>IF(M267&gt;0,N267*100/M267,0)</f>
        <v>0</v>
      </c>
    </row>
    <row r="268" spans="1:16" ht="18.75" hidden="1" x14ac:dyDescent="0.25">
      <c r="A268" s="136"/>
      <c r="B268" s="41"/>
      <c r="C268" s="41"/>
      <c r="D268" s="41"/>
      <c r="E268" s="279" t="s">
        <v>19</v>
      </c>
      <c r="F268" s="41"/>
      <c r="G268" s="43"/>
      <c r="H268" s="141" t="s">
        <v>12</v>
      </c>
      <c r="I268" s="45"/>
      <c r="J268" s="45"/>
      <c r="K268" s="46"/>
      <c r="L268" s="50">
        <f ca="1">L271+L274</f>
        <v>0</v>
      </c>
      <c r="M268" s="50">
        <f ca="1">M271+M274</f>
        <v>0</v>
      </c>
      <c r="N268" s="50">
        <f ca="1">N271+N274</f>
        <v>0</v>
      </c>
      <c r="O268" s="50">
        <f ca="1">IF(L268&gt;0,N268*100/L268,0)</f>
        <v>0</v>
      </c>
      <c r="P268" s="50">
        <f ca="1">IF(M268&gt;0,N268*100/M268,0)</f>
        <v>0</v>
      </c>
    </row>
    <row r="269" spans="1:16" ht="18.75" hidden="1" x14ac:dyDescent="0.25">
      <c r="A269" s="136"/>
      <c r="B269" s="41"/>
      <c r="C269" s="41"/>
      <c r="D269" s="278" t="s">
        <v>20</v>
      </c>
      <c r="E269" s="41"/>
      <c r="F269" s="41"/>
      <c r="G269" s="43"/>
      <c r="H269" s="146" t="s">
        <v>12</v>
      </c>
      <c r="I269" s="144"/>
      <c r="J269" s="144"/>
      <c r="K269" s="145"/>
      <c r="L269" s="50">
        <f ca="1">L270+L271</f>
        <v>0</v>
      </c>
      <c r="M269" s="50">
        <f ca="1">M270+M271</f>
        <v>0</v>
      </c>
      <c r="N269" s="50">
        <f ca="1">N270+N271</f>
        <v>0</v>
      </c>
      <c r="O269" s="50">
        <f ca="1">IF(L269&gt;0,N269*100/L269,0)</f>
        <v>0</v>
      </c>
      <c r="P269" s="50">
        <f ca="1">IF(M269&gt;0,N269*100/M269,0)</f>
        <v>0</v>
      </c>
    </row>
    <row r="270" spans="1:16" ht="18.75" hidden="1" x14ac:dyDescent="0.25">
      <c r="A270" s="136"/>
      <c r="B270" s="41"/>
      <c r="C270" s="41"/>
      <c r="D270" s="41"/>
      <c r="E270" s="279" t="s">
        <v>34</v>
      </c>
      <c r="F270" s="41"/>
      <c r="G270" s="43"/>
      <c r="H270" s="146" t="s">
        <v>12</v>
      </c>
      <c r="I270" s="144"/>
      <c r="J270" s="144"/>
      <c r="K270" s="145"/>
      <c r="L270" s="50">
        <v>0</v>
      </c>
      <c r="M270" s="50">
        <v>0</v>
      </c>
      <c r="N270" s="50">
        <v>0</v>
      </c>
      <c r="O270" s="50">
        <f>IF(L270&gt;0,N270*100/L270,0)</f>
        <v>0</v>
      </c>
      <c r="P270" s="50">
        <f>IF(M270&gt;0,N270*100/M270,0)</f>
        <v>0</v>
      </c>
    </row>
    <row r="271" spans="1:16" ht="18.75" hidden="1" x14ac:dyDescent="0.25">
      <c r="A271" s="136"/>
      <c r="B271" s="41"/>
      <c r="C271" s="41"/>
      <c r="D271" s="41"/>
      <c r="E271" s="279" t="s">
        <v>35</v>
      </c>
      <c r="F271" s="41"/>
      <c r="G271" s="43"/>
      <c r="H271" s="146" t="s">
        <v>12</v>
      </c>
      <c r="I271" s="144"/>
      <c r="J271" s="144"/>
      <c r="K271" s="145"/>
      <c r="L271" s="50">
        <f ca="1">IFERROR(__xludf.DUMMYFUNCTION("IMPORTRANGE(""https://docs.google.com/spreadsheets/d/1-uDff_7J0KD5mKrp0Vvzr7lt3OU09vwQwhkpOPPYv2Y/edit?usp=sharing"",""งบพรบ!DE16"")"),0)</f>
        <v>0</v>
      </c>
      <c r="M271" s="50">
        <f ca="1">IFERROR(__xludf.DUMMYFUNCTION("IMPORTRANGE(""https://docs.google.com/spreadsheets/d/1-uDff_7J0KD5mKrp0Vvzr7lt3OU09vwQwhkpOPPYv2Y/edit?usp=sharing"",""งบพรบ!DJ16"")"),0)</f>
        <v>0</v>
      </c>
      <c r="N271" s="50">
        <f ca="1">IFERROR(__xludf.DUMMYFUNCTION("IMPORTRANGE(""https://docs.google.com/spreadsheets/d/1-uDff_7J0KD5mKrp0Vvzr7lt3OU09vwQwhkpOPPYv2Y/edit?usp=sharing"",""งบพรบ!DL16"")"),0)</f>
        <v>0</v>
      </c>
      <c r="O271" s="50">
        <f ca="1">IF(L271&gt;0,N271*100/L271,0)</f>
        <v>0</v>
      </c>
      <c r="P271" s="50">
        <f ca="1">IF(M271&gt;0,N271*100/M271,0)</f>
        <v>0</v>
      </c>
    </row>
    <row r="272" spans="1:16" ht="18.75" hidden="1" x14ac:dyDescent="0.25">
      <c r="A272" s="136"/>
      <c r="B272" s="41"/>
      <c r="C272" s="41"/>
      <c r="D272" s="278" t="s">
        <v>21</v>
      </c>
      <c r="E272" s="41"/>
      <c r="F272" s="41"/>
      <c r="G272" s="43"/>
      <c r="H272" s="199" t="s">
        <v>12</v>
      </c>
      <c r="I272" s="144"/>
      <c r="J272" s="144"/>
      <c r="K272" s="145"/>
      <c r="L272" s="50">
        <f ca="1">L273+L274</f>
        <v>0</v>
      </c>
      <c r="M272" s="50">
        <f ca="1">M273+M274</f>
        <v>0</v>
      </c>
      <c r="N272" s="50">
        <f ca="1">N273+N274</f>
        <v>0</v>
      </c>
      <c r="O272" s="50">
        <f ca="1">IF(L272&gt;0,N272*100/L272,0)</f>
        <v>0</v>
      </c>
      <c r="P272" s="50">
        <f ca="1">IF(M272&gt;0,N272*100/M272,0)</f>
        <v>0</v>
      </c>
    </row>
    <row r="273" spans="1:16" ht="18.75" hidden="1" x14ac:dyDescent="0.25">
      <c r="A273" s="136"/>
      <c r="B273" s="41"/>
      <c r="C273" s="41"/>
      <c r="D273" s="41"/>
      <c r="E273" s="279" t="s">
        <v>18</v>
      </c>
      <c r="F273" s="41"/>
      <c r="G273" s="43"/>
      <c r="H273" s="146" t="s">
        <v>12</v>
      </c>
      <c r="I273" s="144"/>
      <c r="J273" s="144"/>
      <c r="K273" s="145"/>
      <c r="L273" s="50">
        <v>0</v>
      </c>
      <c r="M273" s="50">
        <v>0</v>
      </c>
      <c r="N273" s="50">
        <v>0</v>
      </c>
      <c r="O273" s="50">
        <f>IF(L273&gt;0,N273*100/L273,0)</f>
        <v>0</v>
      </c>
      <c r="P273" s="50">
        <f>IF(M273&gt;0,N273*100/M273,0)</f>
        <v>0</v>
      </c>
    </row>
    <row r="274" spans="1:16" ht="18.75" hidden="1" x14ac:dyDescent="0.25">
      <c r="A274" s="136"/>
      <c r="B274" s="41"/>
      <c r="C274" s="41"/>
      <c r="D274" s="41"/>
      <c r="E274" s="279" t="s">
        <v>19</v>
      </c>
      <c r="F274" s="41"/>
      <c r="G274" s="43"/>
      <c r="H274" s="199" t="s">
        <v>12</v>
      </c>
      <c r="I274" s="144"/>
      <c r="J274" s="144"/>
      <c r="K274" s="145"/>
      <c r="L274" s="50">
        <f ca="1">IFERROR(__xludf.DUMMYFUNCTION("IMPORTRANGE(""https://docs.google.com/spreadsheets/d/1-uDff_7J0KD5mKrp0Vvzr7lt3OU09vwQwhkpOPPYv2Y/edit?usp=sharing"",""งบพรบ!DH16"")"),0)</f>
        <v>0</v>
      </c>
      <c r="M274" s="50">
        <f ca="1">IFERROR(__xludf.DUMMYFUNCTION("IMPORTRANGE(""https://docs.google.com/spreadsheets/d/1-uDff_7J0KD5mKrp0Vvzr7lt3OU09vwQwhkpOPPYv2Y/edit?usp=sharing"",""งบพรบ!DK16"")"),0)</f>
        <v>0</v>
      </c>
      <c r="N274" s="50">
        <f ca="1">IFERROR(__xludf.DUMMYFUNCTION("IMPORTRANGE(""https://docs.google.com/spreadsheets/d/1-uDff_7J0KD5mKrp0Vvzr7lt3OU09vwQwhkpOPPYv2Y/edit?usp=sharing"",""งบพรบ!DM16"")"),0)</f>
        <v>0</v>
      </c>
      <c r="O274" s="50">
        <f ca="1">IF(L274&gt;0,N274*100/L274,0)</f>
        <v>0</v>
      </c>
      <c r="P274" s="50">
        <f ca="1">IF(M274&gt;0,N274*100/M274,0)</f>
        <v>0</v>
      </c>
    </row>
    <row r="275" spans="1:16" ht="19.5" hidden="1" x14ac:dyDescent="0.3">
      <c r="A275" s="148"/>
      <c r="B275" s="149"/>
      <c r="C275" s="279" t="s">
        <v>16</v>
      </c>
      <c r="D275" s="394" t="s">
        <v>36</v>
      </c>
      <c r="E275" s="151"/>
      <c r="F275" s="151"/>
      <c r="G275" s="152"/>
      <c r="H275" s="153"/>
      <c r="I275" s="144"/>
      <c r="J275" s="144"/>
      <c r="K275" s="145"/>
      <c r="L275" s="145"/>
      <c r="M275" s="145"/>
      <c r="N275" s="145"/>
      <c r="O275" s="145"/>
      <c r="P275" s="145"/>
    </row>
    <row r="276" spans="1:16" ht="12.75" hidden="1" x14ac:dyDescent="0.2">
      <c r="A276" s="165"/>
      <c r="B276" s="166"/>
      <c r="C276" s="166"/>
      <c r="D276" s="16"/>
      <c r="E276" s="16"/>
      <c r="F276" s="16"/>
      <c r="G276" s="17"/>
      <c r="H276" s="17"/>
      <c r="I276" s="18"/>
      <c r="J276" s="18"/>
      <c r="K276" s="19"/>
      <c r="L276" s="19"/>
      <c r="M276" s="19"/>
      <c r="N276" s="19"/>
      <c r="O276" s="19"/>
      <c r="P276" s="19"/>
    </row>
    <row r="277" spans="1:16" ht="18.75" hidden="1" x14ac:dyDescent="0.25">
      <c r="A277" s="280"/>
      <c r="B277" s="281"/>
      <c r="C277" s="281"/>
      <c r="D277" s="282" t="s">
        <v>110</v>
      </c>
      <c r="E277" s="283"/>
      <c r="F277" s="283"/>
      <c r="G277" s="284"/>
      <c r="H277" s="285" t="s">
        <v>33</v>
      </c>
      <c r="I277" s="205">
        <v>0</v>
      </c>
      <c r="J277" s="205">
        <v>0</v>
      </c>
      <c r="K277" s="286">
        <v>0</v>
      </c>
      <c r="L277" s="287"/>
      <c r="M277" s="287"/>
      <c r="N277" s="287"/>
      <c r="O277" s="287"/>
      <c r="P277" s="287"/>
    </row>
    <row r="278" spans="1:16" ht="19.5" x14ac:dyDescent="0.3">
      <c r="A278" s="288" t="s">
        <v>111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</row>
    <row r="279" spans="1:16" ht="19.5" x14ac:dyDescent="0.3">
      <c r="A279" s="294" t="s">
        <v>112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299"/>
      <c r="M279" s="299"/>
      <c r="N279" s="299"/>
      <c r="O279" s="299"/>
      <c r="P279" s="299"/>
    </row>
    <row r="280" spans="1:16" ht="19.5" x14ac:dyDescent="0.3">
      <c r="A280" s="300"/>
      <c r="B280" s="301" t="s">
        <v>113</v>
      </c>
      <c r="C280" s="302"/>
      <c r="D280" s="303"/>
      <c r="E280" s="302"/>
      <c r="F280" s="302"/>
      <c r="G280" s="304"/>
      <c r="H280" s="305" t="s">
        <v>33</v>
      </c>
      <c r="I280" s="306">
        <f ca="1">I293</f>
        <v>20</v>
      </c>
      <c r="J280" s="306">
        <f>J293</f>
        <v>0</v>
      </c>
      <c r="K280" s="307">
        <f ca="1">IF(I280&gt;0,J280*100/I280,0)</f>
        <v>0</v>
      </c>
      <c r="L280" s="308"/>
      <c r="M280" s="308"/>
      <c r="N280" s="308"/>
      <c r="O280" s="308"/>
      <c r="P280" s="308"/>
    </row>
    <row r="281" spans="1:16" ht="19.5" x14ac:dyDescent="0.3">
      <c r="A281" s="300"/>
      <c r="B281" s="302"/>
      <c r="C281" s="302"/>
      <c r="D281" s="303"/>
      <c r="E281" s="302"/>
      <c r="F281" s="302"/>
      <c r="G281" s="304"/>
      <c r="H281" s="305" t="s">
        <v>44</v>
      </c>
      <c r="I281" s="306">
        <f ca="1">I292</f>
        <v>200</v>
      </c>
      <c r="J281" s="306">
        <f>J292</f>
        <v>0</v>
      </c>
      <c r="K281" s="307">
        <f ca="1">IF(I281&gt;0,J281*100/I281,0)</f>
        <v>0</v>
      </c>
      <c r="L281" s="308"/>
      <c r="M281" s="308"/>
      <c r="N281" s="308"/>
      <c r="O281" s="308"/>
      <c r="P281" s="308"/>
    </row>
    <row r="282" spans="1:16" ht="19.5" x14ac:dyDescent="0.3">
      <c r="A282" s="136"/>
      <c r="B282" s="41"/>
      <c r="C282" s="197" t="s">
        <v>16</v>
      </c>
      <c r="D282" s="397" t="s">
        <v>17</v>
      </c>
      <c r="E282" s="41"/>
      <c r="F282" s="41"/>
      <c r="G282" s="43"/>
      <c r="H282" s="139" t="s">
        <v>12</v>
      </c>
      <c r="I282" s="45"/>
      <c r="J282" s="45"/>
      <c r="K282" s="46"/>
      <c r="L282" s="140">
        <f ca="1">L283+L284</f>
        <v>71120</v>
      </c>
      <c r="M282" s="140">
        <f ca="1">M283+M284</f>
        <v>59480</v>
      </c>
      <c r="N282" s="140">
        <f ca="1">N283+N284</f>
        <v>3580</v>
      </c>
      <c r="O282" s="140">
        <f ca="1">IF(L282&gt;0,N282*100/L282,0)</f>
        <v>5.0337457817772782</v>
      </c>
      <c r="P282" s="140">
        <f ca="1">IF(M282&gt;0,N282*100/M282,0)</f>
        <v>6.0188298587760594</v>
      </c>
    </row>
    <row r="283" spans="1:16" ht="18.75" hidden="1" x14ac:dyDescent="0.25">
      <c r="A283" s="136"/>
      <c r="B283" s="41"/>
      <c r="C283" s="41"/>
      <c r="D283" s="41"/>
      <c r="E283" s="279" t="s">
        <v>18</v>
      </c>
      <c r="F283" s="41"/>
      <c r="G283" s="43"/>
      <c r="H283" s="141" t="s">
        <v>12</v>
      </c>
      <c r="I283" s="45"/>
      <c r="J283" s="45"/>
      <c r="K283" s="46"/>
      <c r="L283" s="50">
        <f>L286+L289</f>
        <v>0</v>
      </c>
      <c r="M283" s="50">
        <f>M286+M289</f>
        <v>0</v>
      </c>
      <c r="N283" s="50">
        <f>N286+N289</f>
        <v>0</v>
      </c>
      <c r="O283" s="50">
        <f>IF(L283&gt;0,N283*100/L283,0)</f>
        <v>0</v>
      </c>
      <c r="P283" s="50">
        <f>IF(M283&gt;0,N283*100/M283,0)</f>
        <v>0</v>
      </c>
    </row>
    <row r="284" spans="1:16" ht="18.75" x14ac:dyDescent="0.25">
      <c r="A284" s="136"/>
      <c r="B284" s="41"/>
      <c r="C284" s="41"/>
      <c r="D284" s="41"/>
      <c r="E284" s="254" t="s">
        <v>19</v>
      </c>
      <c r="F284" s="41"/>
      <c r="G284" s="43"/>
      <c r="H284" s="142" t="s">
        <v>12</v>
      </c>
      <c r="I284" s="45"/>
      <c r="J284" s="45"/>
      <c r="K284" s="46"/>
      <c r="L284" s="47">
        <f ca="1">L287+L290</f>
        <v>71120</v>
      </c>
      <c r="M284" s="47">
        <f ca="1">M287+M290</f>
        <v>59480</v>
      </c>
      <c r="N284" s="47">
        <f ca="1">N287+N290</f>
        <v>3580</v>
      </c>
      <c r="O284" s="47">
        <f ca="1">IF(L284&gt;0,N284*100/L284,0)</f>
        <v>5.0337457817772782</v>
      </c>
      <c r="P284" s="47">
        <f ca="1">IF(M284&gt;0,N284*100/M284,0)</f>
        <v>6.0188298587760594</v>
      </c>
    </row>
    <row r="285" spans="1:16" ht="18.75" x14ac:dyDescent="0.25">
      <c r="A285" s="136"/>
      <c r="B285" s="41"/>
      <c r="C285" s="41"/>
      <c r="D285" s="42" t="s">
        <v>20</v>
      </c>
      <c r="E285" s="41"/>
      <c r="F285" s="41"/>
      <c r="G285" s="43"/>
      <c r="H285" s="143" t="s">
        <v>12</v>
      </c>
      <c r="I285" s="144"/>
      <c r="J285" s="144"/>
      <c r="K285" s="145"/>
      <c r="L285" s="47">
        <f ca="1">L286+L287</f>
        <v>71120</v>
      </c>
      <c r="M285" s="47">
        <f ca="1">M286+M287</f>
        <v>59480</v>
      </c>
      <c r="N285" s="47">
        <f ca="1">N286+N287</f>
        <v>3580</v>
      </c>
      <c r="O285" s="47">
        <f ca="1">IF(L285&gt;0,N285*100/L285,0)</f>
        <v>5.0337457817772782</v>
      </c>
      <c r="P285" s="47">
        <f ca="1">IF(M285&gt;0,N285*100/M285,0)</f>
        <v>6.0188298587760594</v>
      </c>
    </row>
    <row r="286" spans="1:16" ht="18.75" hidden="1" x14ac:dyDescent="0.25">
      <c r="A286" s="136"/>
      <c r="B286" s="41"/>
      <c r="C286" s="41"/>
      <c r="D286" s="41"/>
      <c r="E286" s="279" t="s">
        <v>34</v>
      </c>
      <c r="F286" s="41"/>
      <c r="G286" s="43"/>
      <c r="H286" s="146" t="s">
        <v>12</v>
      </c>
      <c r="I286" s="144"/>
      <c r="J286" s="144"/>
      <c r="K286" s="145"/>
      <c r="L286" s="50">
        <v>0</v>
      </c>
      <c r="M286" s="50">
        <v>0</v>
      </c>
      <c r="N286" s="50">
        <v>0</v>
      </c>
      <c r="O286" s="50">
        <f>IF(L286&gt;0,N286*100/L286,0)</f>
        <v>0</v>
      </c>
      <c r="P286" s="50">
        <f>IF(M286&gt;0,N286*100/M286,0)</f>
        <v>0</v>
      </c>
    </row>
    <row r="287" spans="1:16" ht="18.75" x14ac:dyDescent="0.25">
      <c r="A287" s="136"/>
      <c r="B287" s="41"/>
      <c r="C287" s="41"/>
      <c r="D287" s="41"/>
      <c r="E287" s="254" t="s">
        <v>35</v>
      </c>
      <c r="F287" s="41"/>
      <c r="G287" s="43"/>
      <c r="H287" s="143" t="s">
        <v>12</v>
      </c>
      <c r="I287" s="144"/>
      <c r="J287" s="144"/>
      <c r="K287" s="145"/>
      <c r="L287" s="47">
        <f ca="1">IFERROR(__xludf.DUMMYFUNCTION("IMPORTRANGE(""https://docs.google.com/spreadsheets/d/1-uDff_7J0KD5mKrp0Vvzr7lt3OU09vwQwhkpOPPYv2Y/edit?usp=sharing"",""งบพรบ!DO16"")"),71120)</f>
        <v>71120</v>
      </c>
      <c r="M287" s="47">
        <f ca="1">IFERROR(__xludf.DUMMYFUNCTION("IMPORTRANGE(""https://docs.google.com/spreadsheets/d/1-uDff_7J0KD5mKrp0Vvzr7lt3OU09vwQwhkpOPPYv2Y/edit?usp=sharing"",""งบพรบ!DT16"")"),59480)</f>
        <v>59480</v>
      </c>
      <c r="N287" s="47">
        <f ca="1">IFERROR(__xludf.DUMMYFUNCTION("IMPORTRANGE(""https://docs.google.com/spreadsheets/d/1-uDff_7J0KD5mKrp0Vvzr7lt3OU09vwQwhkpOPPYv2Y/edit?usp=sharing"",""งบพรบ!DV16"")"),3580)</f>
        <v>3580</v>
      </c>
      <c r="O287" s="47">
        <f ca="1">IF(L287&gt;0,N287*100/L287,0)</f>
        <v>5.0337457817772782</v>
      </c>
      <c r="P287" s="47">
        <f ca="1">IF(M287&gt;0,N287*100/M287,0)</f>
        <v>6.0188298587760594</v>
      </c>
    </row>
    <row r="288" spans="1:16" ht="18.75" x14ac:dyDescent="0.25">
      <c r="A288" s="136"/>
      <c r="B288" s="41"/>
      <c r="C288" s="41"/>
      <c r="D288" s="42" t="s">
        <v>21</v>
      </c>
      <c r="E288" s="41"/>
      <c r="F288" s="41"/>
      <c r="G288" s="43"/>
      <c r="H288" s="147" t="s">
        <v>12</v>
      </c>
      <c r="I288" s="144"/>
      <c r="J288" s="144"/>
      <c r="K288" s="145"/>
      <c r="L288" s="47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</row>
    <row r="289" spans="1:16" ht="18.75" hidden="1" x14ac:dyDescent="0.25">
      <c r="A289" s="136"/>
      <c r="B289" s="41"/>
      <c r="C289" s="41"/>
      <c r="D289" s="41"/>
      <c r="E289" s="279" t="s">
        <v>18</v>
      </c>
      <c r="F289" s="41"/>
      <c r="G289" s="43"/>
      <c r="H289" s="146" t="s">
        <v>12</v>
      </c>
      <c r="I289" s="144"/>
      <c r="J289" s="144"/>
      <c r="K289" s="145"/>
      <c r="L289" s="50">
        <v>0</v>
      </c>
      <c r="M289" s="50">
        <v>0</v>
      </c>
      <c r="N289" s="50">
        <v>0</v>
      </c>
      <c r="O289" s="50">
        <f>IF(L289&gt;0,N289*100/L289,0)</f>
        <v>0</v>
      </c>
      <c r="P289" s="50">
        <f>IF(M289&gt;0,N289*100/M289,0)</f>
        <v>0</v>
      </c>
    </row>
    <row r="290" spans="1:16" ht="18.75" x14ac:dyDescent="0.25">
      <c r="A290" s="136"/>
      <c r="B290" s="41"/>
      <c r="C290" s="41"/>
      <c r="D290" s="41"/>
      <c r="E290" s="254" t="s">
        <v>19</v>
      </c>
      <c r="F290" s="41"/>
      <c r="G290" s="43"/>
      <c r="H290" s="147" t="s">
        <v>12</v>
      </c>
      <c r="I290" s="144"/>
      <c r="J290" s="144"/>
      <c r="K290" s="145"/>
      <c r="L290" s="47">
        <f ca="1">IFERROR(__xludf.DUMMYFUNCTION("IMPORTRANGE(""https://docs.google.com/spreadsheets/d/1-uDff_7J0KD5mKrp0Vvzr7lt3OU09vwQwhkpOPPYv2Y/edit?usp=sharing"",""งบพรบ!DR16"")"),0)</f>
        <v>0</v>
      </c>
      <c r="M290" s="47">
        <f ca="1">IFERROR(__xludf.DUMMYFUNCTION("IMPORTRANGE(""https://docs.google.com/spreadsheets/d/1-uDff_7J0KD5mKrp0Vvzr7lt3OU09vwQwhkpOPPYv2Y/edit?usp=sharing"",""งบพรบ!DU16"")"),0)</f>
        <v>0</v>
      </c>
      <c r="N290" s="47">
        <f ca="1">IFERROR(__xludf.DUMMYFUNCTION("IMPORTRANGE(""https://docs.google.com/spreadsheets/d/1-uDff_7J0KD5mKrp0Vvzr7lt3OU09vwQwhkpOPPYv2Y/edit?usp=sharing"",""งบพรบ!DW16"")"),0)</f>
        <v>0</v>
      </c>
      <c r="O290" s="47">
        <f ca="1">IF(L290&gt;0,N290*100/L290,0)</f>
        <v>0</v>
      </c>
      <c r="P290" s="47">
        <f ca="1">IF(M290&gt;0,N290*100/M290,0)</f>
        <v>0</v>
      </c>
    </row>
    <row r="291" spans="1:16" ht="19.5" x14ac:dyDescent="0.3">
      <c r="A291" s="148"/>
      <c r="B291" s="149"/>
      <c r="C291" s="197" t="s">
        <v>16</v>
      </c>
      <c r="D291" s="395" t="s">
        <v>36</v>
      </c>
      <c r="E291" s="151"/>
      <c r="F291" s="151"/>
      <c r="G291" s="152"/>
      <c r="H291" s="153"/>
      <c r="I291" s="144"/>
      <c r="J291" s="144"/>
      <c r="K291" s="145"/>
      <c r="L291" s="145"/>
      <c r="M291" s="145"/>
      <c r="N291" s="145"/>
      <c r="O291" s="145"/>
      <c r="P291" s="145"/>
    </row>
    <row r="292" spans="1:16" ht="18.75" x14ac:dyDescent="0.25">
      <c r="A292" s="148"/>
      <c r="B292" s="149"/>
      <c r="C292" s="149"/>
      <c r="D292" s="159" t="s">
        <v>114</v>
      </c>
      <c r="E292" s="149"/>
      <c r="F292" s="155"/>
      <c r="G292" s="153"/>
      <c r="H292" s="164" t="s">
        <v>44</v>
      </c>
      <c r="I292" s="169">
        <f ca="1">IFERROR(__xludf.DUMMYFUNCTION("IMPORTRANGE(""https://docs.google.com/spreadsheets/d/1eHaY18a8A9IcSdp1K8H6x8fbOy06t2VsZHhMHf-1x7Y/edit?usp=sharing"",""แผน!EE16"")"),200)</f>
        <v>200</v>
      </c>
      <c r="J292" s="250">
        <v>0</v>
      </c>
      <c r="K292" s="163">
        <f ca="1">IF(I292&gt;0,J292*100/I292,0)</f>
        <v>0</v>
      </c>
      <c r="L292" s="145"/>
      <c r="M292" s="145"/>
      <c r="N292" s="145"/>
      <c r="O292" s="145"/>
      <c r="P292" s="145"/>
    </row>
    <row r="293" spans="1:16" ht="19.5" x14ac:dyDescent="0.3">
      <c r="A293" s="148"/>
      <c r="B293" s="149"/>
      <c r="C293" s="149"/>
      <c r="D293" s="159" t="s">
        <v>115</v>
      </c>
      <c r="E293" s="149"/>
      <c r="F293" s="155"/>
      <c r="G293" s="153"/>
      <c r="H293" s="156" t="s">
        <v>33</v>
      </c>
      <c r="I293" s="157">
        <f ca="1">IFERROR(__xludf.DUMMYFUNCTION("IMPORTRANGE(""https://docs.google.com/spreadsheets/d/1eHaY18a8A9IcSdp1K8H6x8fbOy06t2VsZHhMHf-1x7Y/edit?usp=sharing"",""แผน!ED16"")"),20)</f>
        <v>20</v>
      </c>
      <c r="J293" s="157">
        <f>J296</f>
        <v>0</v>
      </c>
      <c r="K293" s="158">
        <f ca="1">IF(I293&gt;0,J293*100/I293,0)</f>
        <v>0</v>
      </c>
      <c r="L293" s="145"/>
      <c r="M293" s="145"/>
      <c r="N293" s="145"/>
      <c r="O293" s="145"/>
      <c r="P293" s="145"/>
    </row>
    <row r="294" spans="1:16" ht="19.5" x14ac:dyDescent="0.3">
      <c r="A294" s="148"/>
      <c r="B294" s="149"/>
      <c r="C294" s="149"/>
      <c r="D294" s="155"/>
      <c r="E294" s="167" t="s">
        <v>116</v>
      </c>
      <c r="F294" s="155"/>
      <c r="G294" s="153"/>
      <c r="H294" s="153"/>
      <c r="I294" s="144"/>
      <c r="J294" s="45"/>
      <c r="K294" s="145"/>
      <c r="L294" s="145"/>
      <c r="M294" s="145"/>
      <c r="N294" s="145"/>
      <c r="O294" s="145"/>
      <c r="P294" s="145"/>
    </row>
    <row r="295" spans="1:16" ht="19.5" x14ac:dyDescent="0.3">
      <c r="A295" s="148"/>
      <c r="B295" s="149"/>
      <c r="C295" s="149"/>
      <c r="D295" s="155"/>
      <c r="E295" s="159" t="s">
        <v>117</v>
      </c>
      <c r="F295" s="155"/>
      <c r="G295" s="153"/>
      <c r="H295" s="251" t="s">
        <v>33</v>
      </c>
      <c r="I295" s="161">
        <f ca="1">IFERROR(__xludf.DUMMYFUNCTION("IMPORTRANGE(""https://docs.google.com/spreadsheets/d/1eHaY18a8A9IcSdp1K8H6x8fbOy06t2VsZHhMHf-1x7Y/edit?usp=sharing"",""แผน!ED16"")"),20)</f>
        <v>20</v>
      </c>
      <c r="J295" s="250">
        <v>0</v>
      </c>
      <c r="K295" s="163">
        <f ca="1">IF(I295&gt;0,J295*100/I295,0)</f>
        <v>0</v>
      </c>
      <c r="L295" s="145"/>
      <c r="M295" s="145"/>
      <c r="N295" s="145"/>
      <c r="O295" s="145"/>
      <c r="P295" s="145"/>
    </row>
    <row r="296" spans="1:16" ht="19.5" x14ac:dyDescent="0.3">
      <c r="A296" s="148"/>
      <c r="B296" s="149"/>
      <c r="C296" s="149"/>
      <c r="D296" s="155"/>
      <c r="E296" s="159" t="s">
        <v>118</v>
      </c>
      <c r="F296" s="155"/>
      <c r="G296" s="153"/>
      <c r="H296" s="251" t="s">
        <v>33</v>
      </c>
      <c r="I296" s="161">
        <f ca="1">IFERROR(__xludf.DUMMYFUNCTION("IMPORTRANGE(""https://docs.google.com/spreadsheets/d/1eHaY18a8A9IcSdp1K8H6x8fbOy06t2VsZHhMHf-1x7Y/edit?usp=sharing"",""แผน!ED16"")"),20)</f>
        <v>20</v>
      </c>
      <c r="J296" s="250">
        <v>0</v>
      </c>
      <c r="K296" s="163">
        <f ca="1">IF(I296&gt;0,J296*100/I296,0)</f>
        <v>0</v>
      </c>
      <c r="L296" s="145"/>
      <c r="M296" s="145"/>
      <c r="N296" s="145"/>
      <c r="O296" s="145"/>
      <c r="P296" s="145"/>
    </row>
    <row r="297" spans="1:16" ht="12.75" hidden="1" x14ac:dyDescent="0.2">
      <c r="A297" s="165"/>
      <c r="B297" s="166"/>
      <c r="C297" s="166"/>
      <c r="D297" s="16"/>
      <c r="E297" s="16"/>
      <c r="F297" s="16"/>
      <c r="G297" s="17"/>
      <c r="H297" s="17"/>
      <c r="I297" s="18"/>
      <c r="J297" s="18"/>
      <c r="K297" s="19"/>
      <c r="L297" s="19"/>
      <c r="M297" s="19"/>
      <c r="N297" s="19"/>
      <c r="O297" s="19"/>
      <c r="P297" s="19"/>
    </row>
    <row r="298" spans="1:16" ht="12.75" hidden="1" x14ac:dyDescent="0.2">
      <c r="A298" s="165"/>
      <c r="B298" s="166"/>
      <c r="C298" s="166"/>
      <c r="D298" s="16"/>
      <c r="E298" s="16"/>
      <c r="F298" s="16"/>
      <c r="G298" s="17"/>
      <c r="H298" s="17"/>
      <c r="I298" s="18"/>
      <c r="J298" s="18"/>
      <c r="K298" s="19"/>
      <c r="L298" s="19"/>
      <c r="M298" s="19"/>
      <c r="N298" s="19"/>
      <c r="O298" s="19"/>
      <c r="P298" s="19"/>
    </row>
    <row r="299" spans="1:16" ht="12.75" hidden="1" x14ac:dyDescent="0.2">
      <c r="A299" s="309"/>
      <c r="B299" s="310"/>
      <c r="C299" s="310"/>
      <c r="D299" s="21"/>
      <c r="E299" s="21"/>
      <c r="F299" s="21"/>
      <c r="G299" s="12"/>
      <c r="H299" s="12"/>
      <c r="I299" s="13"/>
      <c r="J299" s="13"/>
      <c r="K299" s="14"/>
      <c r="L299" s="14"/>
      <c r="M299" s="14"/>
      <c r="N299" s="14"/>
      <c r="O299" s="14"/>
      <c r="P299" s="14"/>
    </row>
    <row r="300" spans="1:16" ht="19.5" x14ac:dyDescent="0.3">
      <c r="A300" s="311" t="s">
        <v>119</v>
      </c>
      <c r="B300" s="312"/>
      <c r="C300" s="312"/>
      <c r="D300" s="312"/>
      <c r="E300" s="313"/>
      <c r="F300" s="313"/>
      <c r="G300" s="313"/>
      <c r="H300" s="313"/>
      <c r="I300" s="314"/>
      <c r="J300" s="314"/>
      <c r="K300" s="315"/>
      <c r="L300" s="315"/>
      <c r="M300" s="315"/>
      <c r="N300" s="315"/>
      <c r="O300" s="315"/>
      <c r="P300" s="316"/>
    </row>
    <row r="301" spans="1:16" ht="19.5" x14ac:dyDescent="0.3">
      <c r="A301" s="317" t="s">
        <v>120</v>
      </c>
      <c r="B301" s="318"/>
      <c r="C301" s="318"/>
      <c r="D301" s="319"/>
      <c r="E301" s="319"/>
      <c r="F301" s="319"/>
      <c r="G301" s="320"/>
      <c r="H301" s="320"/>
      <c r="I301" s="321"/>
      <c r="J301" s="321"/>
      <c r="K301" s="322"/>
      <c r="L301" s="322"/>
      <c r="M301" s="322"/>
      <c r="N301" s="322"/>
      <c r="O301" s="322"/>
      <c r="P301" s="322"/>
    </row>
    <row r="302" spans="1:16" ht="19.5" x14ac:dyDescent="0.3">
      <c r="A302" s="323"/>
      <c r="B302" s="324" t="s">
        <v>121</v>
      </c>
      <c r="C302" s="325"/>
      <c r="D302" s="325"/>
      <c r="E302" s="325"/>
      <c r="F302" s="325"/>
      <c r="G302" s="326"/>
      <c r="H302" s="327" t="s">
        <v>33</v>
      </c>
      <c r="I302" s="328">
        <f ca="1">I314</f>
        <v>20</v>
      </c>
      <c r="J302" s="328">
        <f>J314</f>
        <v>0</v>
      </c>
      <c r="K302" s="329">
        <f ca="1">IF(I302&gt;0,J302*100/I302,0)</f>
        <v>0</v>
      </c>
      <c r="L302" s="330"/>
      <c r="M302" s="330"/>
      <c r="N302" s="330"/>
      <c r="O302" s="330"/>
      <c r="P302" s="330"/>
    </row>
    <row r="303" spans="1:16" ht="19.5" x14ac:dyDescent="0.3">
      <c r="A303" s="136"/>
      <c r="B303" s="41"/>
      <c r="C303" s="197" t="s">
        <v>16</v>
      </c>
      <c r="D303" s="397" t="s">
        <v>17</v>
      </c>
      <c r="E303" s="41"/>
      <c r="F303" s="41"/>
      <c r="G303" s="43"/>
      <c r="H303" s="139" t="s">
        <v>12</v>
      </c>
      <c r="I303" s="45"/>
      <c r="J303" s="45"/>
      <c r="K303" s="46"/>
      <c r="L303" s="140">
        <f ca="1">L304+L305</f>
        <v>235700</v>
      </c>
      <c r="M303" s="140">
        <f ca="1">M304+M305</f>
        <v>173900</v>
      </c>
      <c r="N303" s="140">
        <f ca="1">N304+N305</f>
        <v>65840</v>
      </c>
      <c r="O303" s="140">
        <f ca="1">IF(L303&gt;0,N303*100/L303,0)</f>
        <v>27.933814170555792</v>
      </c>
      <c r="P303" s="140">
        <f ca="1">IF(M303&gt;0,N303*100/M303,0)</f>
        <v>37.860839562967222</v>
      </c>
    </row>
    <row r="304" spans="1:16" ht="18.75" hidden="1" x14ac:dyDescent="0.25">
      <c r="A304" s="136"/>
      <c r="B304" s="41"/>
      <c r="C304" s="41"/>
      <c r="D304" s="41"/>
      <c r="E304" s="279" t="s">
        <v>18</v>
      </c>
      <c r="F304" s="41"/>
      <c r="G304" s="43"/>
      <c r="H304" s="141" t="s">
        <v>12</v>
      </c>
      <c r="I304" s="45"/>
      <c r="J304" s="45"/>
      <c r="K304" s="46"/>
      <c r="L304" s="50">
        <f>L307+L310</f>
        <v>0</v>
      </c>
      <c r="M304" s="50">
        <f>M307+M310</f>
        <v>0</v>
      </c>
      <c r="N304" s="50">
        <f>N307+N310</f>
        <v>0</v>
      </c>
      <c r="O304" s="50">
        <f>IF(L304&gt;0,N304*100/L304,0)</f>
        <v>0</v>
      </c>
      <c r="P304" s="50">
        <f>IF(M304&gt;0,N304*100/M304,0)</f>
        <v>0</v>
      </c>
    </row>
    <row r="305" spans="1:16" ht="18.75" x14ac:dyDescent="0.25">
      <c r="A305" s="136"/>
      <c r="B305" s="41"/>
      <c r="C305" s="41"/>
      <c r="D305" s="41"/>
      <c r="E305" s="254" t="s">
        <v>19</v>
      </c>
      <c r="F305" s="41"/>
      <c r="G305" s="43"/>
      <c r="H305" s="142" t="s">
        <v>12</v>
      </c>
      <c r="I305" s="45"/>
      <c r="J305" s="45"/>
      <c r="K305" s="46"/>
      <c r="L305" s="47">
        <f ca="1">L308+L311</f>
        <v>235700</v>
      </c>
      <c r="M305" s="47">
        <f ca="1">M308+M311</f>
        <v>173900</v>
      </c>
      <c r="N305" s="47">
        <f ca="1">N308+N311</f>
        <v>65840</v>
      </c>
      <c r="O305" s="47">
        <f ca="1">IF(L305&gt;0,N305*100/L305,0)</f>
        <v>27.933814170555792</v>
      </c>
      <c r="P305" s="47">
        <f ca="1">IF(M305&gt;0,N305*100/M305,0)</f>
        <v>37.860839562967222</v>
      </c>
    </row>
    <row r="306" spans="1:16" ht="18.75" x14ac:dyDescent="0.25">
      <c r="A306" s="136"/>
      <c r="B306" s="41"/>
      <c r="C306" s="41"/>
      <c r="D306" s="42" t="s">
        <v>20</v>
      </c>
      <c r="E306" s="41"/>
      <c r="F306" s="41"/>
      <c r="G306" s="43"/>
      <c r="H306" s="143" t="s">
        <v>12</v>
      </c>
      <c r="I306" s="144"/>
      <c r="J306" s="144"/>
      <c r="K306" s="145"/>
      <c r="L306" s="47">
        <f ca="1">L307+L308</f>
        <v>235700</v>
      </c>
      <c r="M306" s="47">
        <f ca="1">M307+M308</f>
        <v>173900</v>
      </c>
      <c r="N306" s="47">
        <f ca="1">N307+N308</f>
        <v>65840</v>
      </c>
      <c r="O306" s="47">
        <f ca="1">IF(L306&gt;0,N306*100/L306,0)</f>
        <v>27.933814170555792</v>
      </c>
      <c r="P306" s="47">
        <f ca="1">IF(M306&gt;0,N306*100/M306,0)</f>
        <v>37.860839562967222</v>
      </c>
    </row>
    <row r="307" spans="1:16" ht="18.75" hidden="1" x14ac:dyDescent="0.25">
      <c r="A307" s="136"/>
      <c r="B307" s="41"/>
      <c r="C307" s="41"/>
      <c r="D307" s="41"/>
      <c r="E307" s="279" t="s">
        <v>34</v>
      </c>
      <c r="F307" s="41"/>
      <c r="G307" s="43"/>
      <c r="H307" s="146" t="s">
        <v>12</v>
      </c>
      <c r="I307" s="144"/>
      <c r="J307" s="144"/>
      <c r="K307" s="145"/>
      <c r="L307" s="50">
        <v>0</v>
      </c>
      <c r="M307" s="50">
        <v>0</v>
      </c>
      <c r="N307" s="50">
        <v>0</v>
      </c>
      <c r="O307" s="50">
        <f>IF(L307&gt;0,N307*100/L307,0)</f>
        <v>0</v>
      </c>
      <c r="P307" s="50">
        <f>IF(M307&gt;0,N307*100/M307,0)</f>
        <v>0</v>
      </c>
    </row>
    <row r="308" spans="1:16" ht="18.75" x14ac:dyDescent="0.25">
      <c r="A308" s="136"/>
      <c r="B308" s="41"/>
      <c r="C308" s="41"/>
      <c r="D308" s="41"/>
      <c r="E308" s="254" t="s">
        <v>35</v>
      </c>
      <c r="F308" s="41"/>
      <c r="G308" s="43"/>
      <c r="H308" s="143" t="s">
        <v>12</v>
      </c>
      <c r="I308" s="144"/>
      <c r="J308" s="144"/>
      <c r="K308" s="145"/>
      <c r="L308" s="47">
        <f ca="1">IFERROR(__xludf.DUMMYFUNCTION("IMPORTRANGE(""https://docs.google.com/spreadsheets/d/1-uDff_7J0KD5mKrp0Vvzr7lt3OU09vwQwhkpOPPYv2Y/edit?usp=sharing"",""งบพรบ!DY16"")"),235700)</f>
        <v>235700</v>
      </c>
      <c r="M308" s="47">
        <f ca="1">IFERROR(__xludf.DUMMYFUNCTION("IMPORTRANGE(""https://docs.google.com/spreadsheets/d/1-uDff_7J0KD5mKrp0Vvzr7lt3OU09vwQwhkpOPPYv2Y/edit?usp=sharing"",""งบพรบ!ED16"")"),173900)</f>
        <v>173900</v>
      </c>
      <c r="N308" s="47">
        <f ca="1">IFERROR(__xludf.DUMMYFUNCTION("IMPORTRANGE(""https://docs.google.com/spreadsheets/d/1-uDff_7J0KD5mKrp0Vvzr7lt3OU09vwQwhkpOPPYv2Y/edit?usp=sharing"",""งบพรบ!EF16"")"),65840)</f>
        <v>65840</v>
      </c>
      <c r="O308" s="47">
        <f ca="1">IF(L308&gt;0,N308*100/L308,0)</f>
        <v>27.933814170555792</v>
      </c>
      <c r="P308" s="47">
        <f ca="1">IF(M308&gt;0,N308*100/M308,0)</f>
        <v>37.860839562967222</v>
      </c>
    </row>
    <row r="309" spans="1:16" ht="18.75" x14ac:dyDescent="0.25">
      <c r="A309" s="136"/>
      <c r="B309" s="41"/>
      <c r="C309" s="41"/>
      <c r="D309" s="42" t="s">
        <v>21</v>
      </c>
      <c r="E309" s="41"/>
      <c r="F309" s="41"/>
      <c r="G309" s="43"/>
      <c r="H309" s="147" t="s">
        <v>12</v>
      </c>
      <c r="I309" s="144"/>
      <c r="J309" s="144"/>
      <c r="K309" s="145"/>
      <c r="L309" s="47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</row>
    <row r="310" spans="1:16" ht="18.75" hidden="1" x14ac:dyDescent="0.25">
      <c r="A310" s="136"/>
      <c r="B310" s="41"/>
      <c r="C310" s="41"/>
      <c r="D310" s="41"/>
      <c r="E310" s="279" t="s">
        <v>18</v>
      </c>
      <c r="F310" s="41"/>
      <c r="G310" s="43"/>
      <c r="H310" s="146" t="s">
        <v>12</v>
      </c>
      <c r="I310" s="144"/>
      <c r="J310" s="144"/>
      <c r="K310" s="145"/>
      <c r="L310" s="50">
        <v>0</v>
      </c>
      <c r="M310" s="50">
        <v>0</v>
      </c>
      <c r="N310" s="50">
        <v>0</v>
      </c>
      <c r="O310" s="50">
        <f>IF(L310&gt;0,N310*100/L310,0)</f>
        <v>0</v>
      </c>
      <c r="P310" s="50">
        <f>IF(M310&gt;0,N310*100/M310,0)</f>
        <v>0</v>
      </c>
    </row>
    <row r="311" spans="1:16" ht="18.75" x14ac:dyDescent="0.25">
      <c r="A311" s="136"/>
      <c r="B311" s="41"/>
      <c r="C311" s="41"/>
      <c r="D311" s="41"/>
      <c r="E311" s="254" t="s">
        <v>19</v>
      </c>
      <c r="F311" s="41"/>
      <c r="G311" s="43"/>
      <c r="H311" s="147" t="s">
        <v>12</v>
      </c>
      <c r="I311" s="144"/>
      <c r="J311" s="144"/>
      <c r="K311" s="145"/>
      <c r="L311" s="47">
        <f ca="1">IFERROR(__xludf.DUMMYFUNCTION("IMPORTRANGE(""https://docs.google.com/spreadsheets/d/1-uDff_7J0KD5mKrp0Vvzr7lt3OU09vwQwhkpOPPYv2Y/edit?usp=sharing"",""งบพรบ!EB16"")"),0)</f>
        <v>0</v>
      </c>
      <c r="M311" s="47">
        <f ca="1">IFERROR(__xludf.DUMMYFUNCTION("IMPORTRANGE(""https://docs.google.com/spreadsheets/d/1-uDff_7J0KD5mKrp0Vvzr7lt3OU09vwQwhkpOPPYv2Y/edit?usp=sharing"",""งบพรบ!EE16"")"),0)</f>
        <v>0</v>
      </c>
      <c r="N311" s="47">
        <f ca="1">IFERROR(__xludf.DUMMYFUNCTION("IMPORTRANGE(""https://docs.google.com/spreadsheets/d/1-uDff_7J0KD5mKrp0Vvzr7lt3OU09vwQwhkpOPPYv2Y/edit?usp=sharing"",""งบพรบ!EG16"")"),0)</f>
        <v>0</v>
      </c>
      <c r="O311" s="47">
        <f ca="1">IF(L311&gt;0,N311*100/L311,0)</f>
        <v>0</v>
      </c>
      <c r="P311" s="47">
        <f ca="1">IF(M311&gt;0,N311*100/M311,0)</f>
        <v>0</v>
      </c>
    </row>
    <row r="312" spans="1:16" ht="19.5" x14ac:dyDescent="0.3">
      <c r="A312" s="148"/>
      <c r="B312" s="149"/>
      <c r="C312" s="197" t="s">
        <v>16</v>
      </c>
      <c r="D312" s="395" t="s">
        <v>36</v>
      </c>
      <c r="E312" s="151"/>
      <c r="F312" s="151"/>
      <c r="G312" s="152"/>
      <c r="H312" s="153"/>
      <c r="I312" s="45"/>
      <c r="J312" s="45"/>
      <c r="K312" s="46"/>
      <c r="L312" s="46"/>
      <c r="M312" s="46"/>
      <c r="N312" s="46"/>
      <c r="O312" s="46"/>
      <c r="P312" s="46"/>
    </row>
    <row r="313" spans="1:16" ht="18.75" x14ac:dyDescent="0.25">
      <c r="A313" s="148"/>
      <c r="B313" s="149"/>
      <c r="C313" s="149"/>
      <c r="D313" s="159" t="s">
        <v>122</v>
      </c>
      <c r="E313" s="155"/>
      <c r="F313" s="155"/>
      <c r="G313" s="153"/>
      <c r="H313" s="153"/>
      <c r="I313" s="45"/>
      <c r="J313" s="250">
        <v>0</v>
      </c>
      <c r="K313" s="46"/>
      <c r="L313" s="46"/>
      <c r="M313" s="46"/>
      <c r="N313" s="46"/>
      <c r="O313" s="46"/>
      <c r="P313" s="46"/>
    </row>
    <row r="314" spans="1:16" ht="18.75" x14ac:dyDescent="0.25">
      <c r="A314" s="148"/>
      <c r="B314" s="149"/>
      <c r="C314" s="149"/>
      <c r="D314" s="159" t="s">
        <v>115</v>
      </c>
      <c r="E314" s="155"/>
      <c r="F314" s="155"/>
      <c r="G314" s="153"/>
      <c r="H314" s="251" t="s">
        <v>33</v>
      </c>
      <c r="I314" s="169">
        <f ca="1">IFERROR(__xludf.DUMMYFUNCTION("IMPORTRANGE(""https://docs.google.com/spreadsheets/d/1eHaY18a8A9IcSdp1K8H6x8fbOy06t2VsZHhMHf-1x7Y/edit?usp=sharing"",""แผน!EF16"")"),20)</f>
        <v>20</v>
      </c>
      <c r="J314" s="250">
        <v>0</v>
      </c>
      <c r="K314" s="47">
        <f ca="1">IF(I314&gt;0,J314*100/I314,0)</f>
        <v>0</v>
      </c>
      <c r="L314" s="46"/>
      <c r="M314" s="46"/>
      <c r="N314" s="46"/>
      <c r="O314" s="46"/>
      <c r="P314" s="46"/>
    </row>
    <row r="315" spans="1:16" ht="18.75" x14ac:dyDescent="0.25">
      <c r="A315" s="148"/>
      <c r="B315" s="149"/>
      <c r="C315" s="149"/>
      <c r="D315" s="159" t="s">
        <v>123</v>
      </c>
      <c r="E315" s="155"/>
      <c r="F315" s="155"/>
      <c r="G315" s="153"/>
      <c r="H315" s="251" t="s">
        <v>33</v>
      </c>
      <c r="I315" s="169">
        <f ca="1">IFERROR(__xludf.DUMMYFUNCTION("IMPORTRANGE(""https://docs.google.com/spreadsheets/d/1eHaY18a8A9IcSdp1K8H6x8fbOy06t2VsZHhMHf-1x7Y/edit?usp=sharing"",""แผน!EG16"")"),4)</f>
        <v>4</v>
      </c>
      <c r="J315" s="250">
        <v>0</v>
      </c>
      <c r="K315" s="47">
        <f ca="1">IF(I315&gt;0,J315*100/I315,0)</f>
        <v>0</v>
      </c>
      <c r="L315" s="46"/>
      <c r="M315" s="46"/>
      <c r="N315" s="46"/>
      <c r="O315" s="46"/>
      <c r="P315" s="46"/>
    </row>
    <row r="316" spans="1:16" ht="18.75" x14ac:dyDescent="0.25">
      <c r="A316" s="148"/>
      <c r="B316" s="149"/>
      <c r="C316" s="149"/>
      <c r="D316" s="159" t="s">
        <v>48</v>
      </c>
      <c r="E316" s="155"/>
      <c r="F316" s="155"/>
      <c r="G316" s="153"/>
      <c r="H316" s="251" t="s">
        <v>33</v>
      </c>
      <c r="I316" s="169">
        <f ca="1">IFERROR(__xludf.DUMMYFUNCTION("IMPORTRANGE(""https://docs.google.com/spreadsheets/d/1eHaY18a8A9IcSdp1K8H6x8fbOy06t2VsZHhMHf-1x7Y/edit?usp=sharing"",""แผน!EH16"")"),20)</f>
        <v>20</v>
      </c>
      <c r="J316" s="250">
        <v>0</v>
      </c>
      <c r="K316" s="47">
        <f ca="1">IF(I316&gt;0,J316*100/I316,0)</f>
        <v>0</v>
      </c>
      <c r="L316" s="46"/>
      <c r="M316" s="46"/>
      <c r="N316" s="46"/>
      <c r="O316" s="46"/>
      <c r="P316" s="46"/>
    </row>
    <row r="317" spans="1:16" ht="18.75" hidden="1" x14ac:dyDescent="0.25">
      <c r="A317" s="227"/>
      <c r="B317" s="228"/>
      <c r="C317" s="228"/>
      <c r="D317" s="279" t="s">
        <v>124</v>
      </c>
      <c r="E317" s="41"/>
      <c r="F317" s="41"/>
      <c r="G317" s="43"/>
      <c r="H317" s="49" t="s">
        <v>33</v>
      </c>
      <c r="I317" s="200">
        <f ca="1">IFERROR(__xludf.DUMMYFUNCTION("IMPORTRANGE(""https://docs.google.com/spreadsheets/d/1eHaY18a8A9IcSdp1K8H6x8fbOy06t2VsZHhMHf-1x7Y/edit?usp=sharing"",""แผน!EI16"")"),4)</f>
        <v>4</v>
      </c>
      <c r="J317" s="200">
        <v>0</v>
      </c>
      <c r="K317" s="50">
        <f ca="1">IF(I317&gt;0,J317*100/I317,0)</f>
        <v>0</v>
      </c>
      <c r="L317" s="46"/>
      <c r="M317" s="46"/>
      <c r="N317" s="46"/>
      <c r="O317" s="46"/>
      <c r="P317" s="46"/>
    </row>
    <row r="318" spans="1:16" ht="19.5" hidden="1" x14ac:dyDescent="0.3">
      <c r="A318" s="317" t="s">
        <v>125</v>
      </c>
      <c r="B318" s="318"/>
      <c r="C318" s="318"/>
      <c r="D318" s="319"/>
      <c r="E318" s="318"/>
      <c r="F318" s="318"/>
      <c r="G318" s="318"/>
      <c r="H318" s="319"/>
      <c r="I318" s="321"/>
      <c r="J318" s="321"/>
      <c r="K318" s="322"/>
      <c r="L318" s="322"/>
      <c r="M318" s="322"/>
      <c r="N318" s="322"/>
      <c r="O318" s="322"/>
      <c r="P318" s="322"/>
    </row>
    <row r="319" spans="1:16" ht="19.5" hidden="1" x14ac:dyDescent="0.3">
      <c r="A319" s="331"/>
      <c r="B319" s="324" t="s">
        <v>126</v>
      </c>
      <c r="C319" s="332"/>
      <c r="D319" s="333"/>
      <c r="E319" s="325"/>
      <c r="F319" s="325"/>
      <c r="G319" s="326"/>
      <c r="H319" s="327" t="s">
        <v>127</v>
      </c>
      <c r="I319" s="328">
        <f ca="1">I330</f>
        <v>0</v>
      </c>
      <c r="J319" s="328">
        <f>J330</f>
        <v>0</v>
      </c>
      <c r="K319" s="329">
        <f ca="1">IF(I319&gt;0,J319*100/I319,0)</f>
        <v>0</v>
      </c>
      <c r="L319" s="330"/>
      <c r="M319" s="330"/>
      <c r="N319" s="330"/>
      <c r="O319" s="330"/>
      <c r="P319" s="330"/>
    </row>
    <row r="320" spans="1:16" ht="19.5" hidden="1" x14ac:dyDescent="0.3">
      <c r="A320" s="136"/>
      <c r="B320" s="41"/>
      <c r="C320" s="197" t="s">
        <v>16</v>
      </c>
      <c r="D320" s="397" t="s">
        <v>17</v>
      </c>
      <c r="E320" s="41"/>
      <c r="F320" s="41"/>
      <c r="G320" s="43"/>
      <c r="H320" s="139" t="s">
        <v>12</v>
      </c>
      <c r="I320" s="45"/>
      <c r="J320" s="45"/>
      <c r="K320" s="46"/>
      <c r="L320" s="140">
        <f ca="1">L321+L322</f>
        <v>0</v>
      </c>
      <c r="M320" s="140">
        <f ca="1">M321+M322</f>
        <v>0</v>
      </c>
      <c r="N320" s="140">
        <f ca="1">N321+N322</f>
        <v>0</v>
      </c>
      <c r="O320" s="140">
        <f ca="1">IF(L320&gt;0,N320*100/L320,0)</f>
        <v>0</v>
      </c>
      <c r="P320" s="140">
        <f ca="1">IF(M320&gt;0,N320*100/M320,0)</f>
        <v>0</v>
      </c>
    </row>
    <row r="321" spans="1:16" ht="18.75" hidden="1" x14ac:dyDescent="0.25">
      <c r="A321" s="136"/>
      <c r="B321" s="41"/>
      <c r="C321" s="41"/>
      <c r="D321" s="41"/>
      <c r="E321" s="279" t="s">
        <v>18</v>
      </c>
      <c r="F321" s="41"/>
      <c r="G321" s="43"/>
      <c r="H321" s="141" t="s">
        <v>12</v>
      </c>
      <c r="I321" s="45"/>
      <c r="J321" s="45"/>
      <c r="K321" s="46"/>
      <c r="L321" s="50">
        <f>L324+L327</f>
        <v>0</v>
      </c>
      <c r="M321" s="50">
        <f>M324+M327</f>
        <v>0</v>
      </c>
      <c r="N321" s="50">
        <f>N324+N327</f>
        <v>0</v>
      </c>
      <c r="O321" s="50">
        <f>IF(L321&gt;0,N321*100/L321,0)</f>
        <v>0</v>
      </c>
      <c r="P321" s="50">
        <f>IF(M321&gt;0,N321*100/M321,0)</f>
        <v>0</v>
      </c>
    </row>
    <row r="322" spans="1:16" ht="18.75" hidden="1" x14ac:dyDescent="0.25">
      <c r="A322" s="136"/>
      <c r="B322" s="41"/>
      <c r="C322" s="41"/>
      <c r="D322" s="41"/>
      <c r="E322" s="254" t="s">
        <v>19</v>
      </c>
      <c r="F322" s="41"/>
      <c r="G322" s="43"/>
      <c r="H322" s="142" t="s">
        <v>12</v>
      </c>
      <c r="I322" s="45"/>
      <c r="J322" s="45"/>
      <c r="K322" s="46"/>
      <c r="L322" s="47">
        <f ca="1">L325+L328</f>
        <v>0</v>
      </c>
      <c r="M322" s="47">
        <f ca="1">M325+M328</f>
        <v>0</v>
      </c>
      <c r="N322" s="47">
        <f ca="1">N325+N328</f>
        <v>0</v>
      </c>
      <c r="O322" s="47">
        <f ca="1">IF(L322&gt;0,N322*100/L322,0)</f>
        <v>0</v>
      </c>
      <c r="P322" s="47">
        <f ca="1">IF(M322&gt;0,N322*100/M322,0)</f>
        <v>0</v>
      </c>
    </row>
    <row r="323" spans="1:16" ht="18.75" hidden="1" x14ac:dyDescent="0.25">
      <c r="A323" s="136"/>
      <c r="B323" s="41"/>
      <c r="C323" s="41"/>
      <c r="D323" s="42" t="s">
        <v>20</v>
      </c>
      <c r="E323" s="41"/>
      <c r="F323" s="41"/>
      <c r="G323" s="43"/>
      <c r="H323" s="143" t="s">
        <v>12</v>
      </c>
      <c r="I323" s="144"/>
      <c r="J323" s="144"/>
      <c r="K323" s="145"/>
      <c r="L323" s="47">
        <f ca="1">L324+L325</f>
        <v>0</v>
      </c>
      <c r="M323" s="47">
        <f ca="1">M324+M325</f>
        <v>0</v>
      </c>
      <c r="N323" s="47">
        <f ca="1">N324+N325</f>
        <v>0</v>
      </c>
      <c r="O323" s="47">
        <f ca="1">IF(L323&gt;0,N323*100/L323,0)</f>
        <v>0</v>
      </c>
      <c r="P323" s="47">
        <f ca="1">IF(M323&gt;0,N323*100/M323,0)</f>
        <v>0</v>
      </c>
    </row>
    <row r="324" spans="1:16" ht="18.75" hidden="1" x14ac:dyDescent="0.25">
      <c r="A324" s="136"/>
      <c r="B324" s="41"/>
      <c r="C324" s="41"/>
      <c r="D324" s="41"/>
      <c r="E324" s="279" t="s">
        <v>34</v>
      </c>
      <c r="F324" s="41"/>
      <c r="G324" s="43"/>
      <c r="H324" s="146" t="s">
        <v>12</v>
      </c>
      <c r="I324" s="144"/>
      <c r="J324" s="144"/>
      <c r="K324" s="145"/>
      <c r="L324" s="50">
        <v>0</v>
      </c>
      <c r="M324" s="50">
        <v>0</v>
      </c>
      <c r="N324" s="50">
        <v>0</v>
      </c>
      <c r="O324" s="50">
        <f>IF(L324&gt;0,N324*100/L324,0)</f>
        <v>0</v>
      </c>
      <c r="P324" s="50">
        <f>IF(M324&gt;0,N324*100/M324,0)</f>
        <v>0</v>
      </c>
    </row>
    <row r="325" spans="1:16" ht="18.75" hidden="1" x14ac:dyDescent="0.25">
      <c r="A325" s="136"/>
      <c r="B325" s="41"/>
      <c r="C325" s="41"/>
      <c r="D325" s="41"/>
      <c r="E325" s="254" t="s">
        <v>35</v>
      </c>
      <c r="F325" s="41"/>
      <c r="G325" s="43"/>
      <c r="H325" s="143" t="s">
        <v>12</v>
      </c>
      <c r="I325" s="144"/>
      <c r="J325" s="144"/>
      <c r="K325" s="145"/>
      <c r="L325" s="47">
        <f ca="1">IFERROR(__xludf.DUMMYFUNCTION("IMPORTRANGE(""https://docs.google.com/spreadsheets/d/1-uDff_7J0KD5mKrp0Vvzr7lt3OU09vwQwhkpOPPYv2Y/edit?usp=sharing"",""งบพรบ!EI16"")"),0)</f>
        <v>0</v>
      </c>
      <c r="M325" s="47">
        <f ca="1">IFERROR(__xludf.DUMMYFUNCTION("IMPORTRANGE(""https://docs.google.com/spreadsheets/d/1-uDff_7J0KD5mKrp0Vvzr7lt3OU09vwQwhkpOPPYv2Y/edit?usp=sharing"",""งบพรบ!EN16"")"),0)</f>
        <v>0</v>
      </c>
      <c r="N325" s="47">
        <f ca="1">IFERROR(__xludf.DUMMYFUNCTION("IMPORTRANGE(""https://docs.google.com/spreadsheets/d/1-uDff_7J0KD5mKrp0Vvzr7lt3OU09vwQwhkpOPPYv2Y/edit?usp=sharing"",""งบพรบ!EP16"")"),0)</f>
        <v>0</v>
      </c>
      <c r="O325" s="47">
        <f ca="1">IF(L325&gt;0,N325*100/L325,0)</f>
        <v>0</v>
      </c>
      <c r="P325" s="47">
        <f ca="1">IF(M325&gt;0,N325*100/M325,0)</f>
        <v>0</v>
      </c>
    </row>
    <row r="326" spans="1:16" ht="18.75" hidden="1" x14ac:dyDescent="0.25">
      <c r="A326" s="136"/>
      <c r="B326" s="41"/>
      <c r="C326" s="41"/>
      <c r="D326" s="42" t="s">
        <v>21</v>
      </c>
      <c r="E326" s="41"/>
      <c r="F326" s="41"/>
      <c r="G326" s="43"/>
      <c r="H326" s="147" t="s">
        <v>12</v>
      </c>
      <c r="I326" s="144"/>
      <c r="J326" s="144"/>
      <c r="K326" s="145"/>
      <c r="L326" s="47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</row>
    <row r="327" spans="1:16" ht="18.75" hidden="1" x14ac:dyDescent="0.25">
      <c r="A327" s="136"/>
      <c r="B327" s="41"/>
      <c r="C327" s="41"/>
      <c r="D327" s="41"/>
      <c r="E327" s="279" t="s">
        <v>18</v>
      </c>
      <c r="F327" s="41"/>
      <c r="G327" s="43"/>
      <c r="H327" s="146" t="s">
        <v>12</v>
      </c>
      <c r="I327" s="144"/>
      <c r="J327" s="144"/>
      <c r="K327" s="145"/>
      <c r="L327" s="50">
        <v>0</v>
      </c>
      <c r="M327" s="50">
        <v>0</v>
      </c>
      <c r="N327" s="50">
        <v>0</v>
      </c>
      <c r="O327" s="50">
        <f>IF(L327&gt;0,N327*100/L327,0)</f>
        <v>0</v>
      </c>
      <c r="P327" s="50">
        <f>IF(M327&gt;0,N327*100/M327,0)</f>
        <v>0</v>
      </c>
    </row>
    <row r="328" spans="1:16" ht="18.75" hidden="1" x14ac:dyDescent="0.25">
      <c r="A328" s="136"/>
      <c r="B328" s="41"/>
      <c r="C328" s="41"/>
      <c r="D328" s="41"/>
      <c r="E328" s="254" t="s">
        <v>19</v>
      </c>
      <c r="F328" s="41"/>
      <c r="G328" s="43"/>
      <c r="H328" s="147" t="s">
        <v>12</v>
      </c>
      <c r="I328" s="144"/>
      <c r="J328" s="144"/>
      <c r="K328" s="145"/>
      <c r="L328" s="47">
        <f ca="1">IFERROR(__xludf.DUMMYFUNCTION("IMPORTRANGE(""https://docs.google.com/spreadsheets/d/1-uDff_7J0KD5mKrp0Vvzr7lt3OU09vwQwhkpOPPYv2Y/edit?usp=sharing"",""งบพรบ!EL16"")"),0)</f>
        <v>0</v>
      </c>
      <c r="M328" s="47">
        <f ca="1">IFERROR(__xludf.DUMMYFUNCTION("IMPORTRANGE(""https://docs.google.com/spreadsheets/d/1-uDff_7J0KD5mKrp0Vvzr7lt3OU09vwQwhkpOPPYv2Y/edit?usp=sharing"",""งบพรบ!EO16"")"),0)</f>
        <v>0</v>
      </c>
      <c r="N328" s="47">
        <f ca="1">IFERROR(__xludf.DUMMYFUNCTION("IMPORTRANGE(""https://docs.google.com/spreadsheets/d/1-uDff_7J0KD5mKrp0Vvzr7lt3OU09vwQwhkpOPPYv2Y/edit?usp=sharing"",""งบพรบ!EQ16"")"),0)</f>
        <v>0</v>
      </c>
      <c r="O328" s="47">
        <f ca="1">IF(L328&gt;0,N328*100/L328,0)</f>
        <v>0</v>
      </c>
      <c r="P328" s="47">
        <f ca="1">IF(M328&gt;0,N328*100/M328,0)</f>
        <v>0</v>
      </c>
    </row>
    <row r="329" spans="1:16" ht="19.5" hidden="1" x14ac:dyDescent="0.3">
      <c r="A329" s="148"/>
      <c r="B329" s="149"/>
      <c r="C329" s="197" t="s">
        <v>16</v>
      </c>
      <c r="D329" s="395" t="s">
        <v>36</v>
      </c>
      <c r="E329" s="151"/>
      <c r="F329" s="151"/>
      <c r="G329" s="152"/>
      <c r="H329" s="153"/>
      <c r="I329" s="144"/>
      <c r="J329" s="45"/>
      <c r="K329" s="46"/>
      <c r="L329" s="46"/>
      <c r="M329" s="46"/>
      <c r="N329" s="46"/>
      <c r="O329" s="145"/>
      <c r="P329" s="145"/>
    </row>
    <row r="330" spans="1:16" ht="18.75" hidden="1" x14ac:dyDescent="0.25">
      <c r="A330" s="148"/>
      <c r="B330" s="149"/>
      <c r="C330" s="149"/>
      <c r="D330" s="154" t="s">
        <v>128</v>
      </c>
      <c r="E330" s="155"/>
      <c r="F330" s="155"/>
      <c r="G330" s="153"/>
      <c r="H330" s="44" t="s">
        <v>127</v>
      </c>
      <c r="I330" s="169">
        <f ca="1">IFERROR(__xludf.DUMMYFUNCTION("IMPORTRANGE(""https://docs.google.com/spreadsheets/d/1eHaY18a8A9IcSdp1K8H6x8fbOy06t2VsZHhMHf-1x7Y/edit?usp=sharing"",""แผน!EJ16"")"),0)</f>
        <v>0</v>
      </c>
      <c r="J330" s="250">
        <v>0</v>
      </c>
      <c r="K330" s="47">
        <f ca="1">IF(I330&gt;0,J330*100/I330,0)</f>
        <v>0</v>
      </c>
      <c r="L330" s="46"/>
      <c r="M330" s="46"/>
      <c r="N330" s="46"/>
      <c r="O330" s="145"/>
      <c r="P330" s="145"/>
    </row>
    <row r="331" spans="1:16" ht="19.5" x14ac:dyDescent="0.3">
      <c r="A331" s="317" t="s">
        <v>129</v>
      </c>
      <c r="B331" s="318"/>
      <c r="C331" s="318"/>
      <c r="D331" s="319"/>
      <c r="E331" s="318"/>
      <c r="F331" s="318"/>
      <c r="G331" s="318"/>
      <c r="H331" s="319"/>
      <c r="I331" s="321"/>
      <c r="J331" s="321"/>
      <c r="K331" s="322"/>
      <c r="L331" s="322"/>
      <c r="M331" s="322"/>
      <c r="N331" s="322"/>
      <c r="O331" s="322"/>
      <c r="P331" s="322"/>
    </row>
    <row r="332" spans="1:16" ht="19.5" x14ac:dyDescent="0.3">
      <c r="A332" s="323"/>
      <c r="B332" s="324" t="s">
        <v>130</v>
      </c>
      <c r="C332" s="333"/>
      <c r="D332" s="325"/>
      <c r="E332" s="325"/>
      <c r="F332" s="325"/>
      <c r="G332" s="326"/>
      <c r="H332" s="327" t="s">
        <v>33</v>
      </c>
      <c r="I332" s="334">
        <f ca="1">I344</f>
        <v>600</v>
      </c>
      <c r="J332" s="335">
        <f ca="1">J344+J347+J348+J349+J353</f>
        <v>1996</v>
      </c>
      <c r="K332" s="336">
        <f ca="1">IF(I332&gt;0,J332*100/I332,0)</f>
        <v>332.66666666666669</v>
      </c>
      <c r="L332" s="330"/>
      <c r="M332" s="330"/>
      <c r="N332" s="330"/>
      <c r="O332" s="330"/>
      <c r="P332" s="330"/>
    </row>
    <row r="333" spans="1:16" ht="19.5" x14ac:dyDescent="0.3">
      <c r="A333" s="136"/>
      <c r="B333" s="41"/>
      <c r="C333" s="197" t="s">
        <v>16</v>
      </c>
      <c r="D333" s="397" t="s">
        <v>17</v>
      </c>
      <c r="E333" s="41"/>
      <c r="F333" s="41"/>
      <c r="G333" s="43"/>
      <c r="H333" s="139" t="s">
        <v>12</v>
      </c>
      <c r="I333" s="45"/>
      <c r="J333" s="45"/>
      <c r="K333" s="46"/>
      <c r="L333" s="140">
        <f ca="1">L334+L335</f>
        <v>103000</v>
      </c>
      <c r="M333" s="140">
        <f ca="1">M334+M335</f>
        <v>83350</v>
      </c>
      <c r="N333" s="140">
        <f ca="1">N334+N335</f>
        <v>23500</v>
      </c>
      <c r="O333" s="140">
        <f ca="1">IF(L333&gt;0,N333*100/L333,0)</f>
        <v>22.815533980582526</v>
      </c>
      <c r="P333" s="140">
        <f ca="1">IF(M333&gt;0,N333*100/M333,0)</f>
        <v>28.194361127774446</v>
      </c>
    </row>
    <row r="334" spans="1:16" ht="18.75" hidden="1" x14ac:dyDescent="0.25">
      <c r="A334" s="136"/>
      <c r="B334" s="41"/>
      <c r="C334" s="41"/>
      <c r="D334" s="41"/>
      <c r="E334" s="279" t="s">
        <v>18</v>
      </c>
      <c r="F334" s="41"/>
      <c r="G334" s="43"/>
      <c r="H334" s="141" t="s">
        <v>12</v>
      </c>
      <c r="I334" s="45"/>
      <c r="J334" s="45"/>
      <c r="K334" s="46"/>
      <c r="L334" s="50">
        <f>L337+L340</f>
        <v>0</v>
      </c>
      <c r="M334" s="50">
        <f>M337+M340</f>
        <v>0</v>
      </c>
      <c r="N334" s="50">
        <f>N337+N340</f>
        <v>0</v>
      </c>
      <c r="O334" s="50">
        <f>IF(L334&gt;0,N334*100/L334,0)</f>
        <v>0</v>
      </c>
      <c r="P334" s="50">
        <f>IF(M334&gt;0,N334*100/M334,0)</f>
        <v>0</v>
      </c>
    </row>
    <row r="335" spans="1:16" ht="18.75" x14ac:dyDescent="0.25">
      <c r="A335" s="136"/>
      <c r="B335" s="41"/>
      <c r="C335" s="41"/>
      <c r="D335" s="41"/>
      <c r="E335" s="254" t="s">
        <v>19</v>
      </c>
      <c r="F335" s="41"/>
      <c r="G335" s="43"/>
      <c r="H335" s="142" t="s">
        <v>12</v>
      </c>
      <c r="I335" s="45"/>
      <c r="J335" s="45"/>
      <c r="K335" s="46"/>
      <c r="L335" s="47">
        <f ca="1">L338+L341</f>
        <v>103000</v>
      </c>
      <c r="M335" s="47">
        <f ca="1">M338+M341</f>
        <v>83350</v>
      </c>
      <c r="N335" s="47">
        <f ca="1">N338+N341</f>
        <v>23500</v>
      </c>
      <c r="O335" s="47">
        <f ca="1">IF(L335&gt;0,N335*100/L335,0)</f>
        <v>22.815533980582526</v>
      </c>
      <c r="P335" s="47">
        <f ca="1">IF(M335&gt;0,N335*100/M335,0)</f>
        <v>28.194361127774446</v>
      </c>
    </row>
    <row r="336" spans="1:16" ht="18.75" x14ac:dyDescent="0.25">
      <c r="A336" s="136"/>
      <c r="B336" s="41"/>
      <c r="C336" s="41"/>
      <c r="D336" s="42" t="s">
        <v>20</v>
      </c>
      <c r="E336" s="41"/>
      <c r="F336" s="41"/>
      <c r="G336" s="43"/>
      <c r="H336" s="143" t="s">
        <v>12</v>
      </c>
      <c r="I336" s="144"/>
      <c r="J336" s="144"/>
      <c r="K336" s="145"/>
      <c r="L336" s="47">
        <f ca="1">L337+L338</f>
        <v>103000</v>
      </c>
      <c r="M336" s="47">
        <f ca="1">M337+M338</f>
        <v>83350</v>
      </c>
      <c r="N336" s="47">
        <f ca="1">N337+N338</f>
        <v>23500</v>
      </c>
      <c r="O336" s="47">
        <f ca="1">IF(L336&gt;0,N336*100/L336,0)</f>
        <v>22.815533980582526</v>
      </c>
      <c r="P336" s="47">
        <f ca="1">IF(M336&gt;0,N336*100/M336,0)</f>
        <v>28.194361127774446</v>
      </c>
    </row>
    <row r="337" spans="1:16" ht="18.75" hidden="1" x14ac:dyDescent="0.25">
      <c r="A337" s="136"/>
      <c r="B337" s="41"/>
      <c r="C337" s="41"/>
      <c r="D337" s="41"/>
      <c r="E337" s="279" t="s">
        <v>34</v>
      </c>
      <c r="F337" s="41"/>
      <c r="G337" s="43"/>
      <c r="H337" s="146" t="s">
        <v>12</v>
      </c>
      <c r="I337" s="144"/>
      <c r="J337" s="144"/>
      <c r="K337" s="145"/>
      <c r="L337" s="50">
        <v>0</v>
      </c>
      <c r="M337" s="50">
        <v>0</v>
      </c>
      <c r="N337" s="50">
        <v>0</v>
      </c>
      <c r="O337" s="50">
        <f>IF(L337&gt;0,N337*100/L337,0)</f>
        <v>0</v>
      </c>
      <c r="P337" s="50">
        <f>IF(M337&gt;0,N337*100/M337,0)</f>
        <v>0</v>
      </c>
    </row>
    <row r="338" spans="1:16" ht="18.75" x14ac:dyDescent="0.25">
      <c r="A338" s="136"/>
      <c r="B338" s="41"/>
      <c r="C338" s="41"/>
      <c r="D338" s="41"/>
      <c r="E338" s="254" t="s">
        <v>35</v>
      </c>
      <c r="F338" s="41"/>
      <c r="G338" s="43"/>
      <c r="H338" s="143" t="s">
        <v>12</v>
      </c>
      <c r="I338" s="144"/>
      <c r="J338" s="144"/>
      <c r="K338" s="145"/>
      <c r="L338" s="47">
        <f ca="1">IFERROR(__xludf.DUMMYFUNCTION("IMPORTRANGE(""https://docs.google.com/spreadsheets/d/1-uDff_7J0KD5mKrp0Vvzr7lt3OU09vwQwhkpOPPYv2Y/edit?usp=sharing"",""งบพรบ!ES16"")"),103000)</f>
        <v>103000</v>
      </c>
      <c r="M338" s="47">
        <f ca="1">IFERROR(__xludf.DUMMYFUNCTION("IMPORTRANGE(""https://docs.google.com/spreadsheets/d/1-uDff_7J0KD5mKrp0Vvzr7lt3OU09vwQwhkpOPPYv2Y/edit?usp=sharing"",""งบพรบ!EX16"")"),83350)</f>
        <v>83350</v>
      </c>
      <c r="N338" s="47">
        <f ca="1">IFERROR(__xludf.DUMMYFUNCTION("IMPORTRANGE(""https://docs.google.com/spreadsheets/d/1-uDff_7J0KD5mKrp0Vvzr7lt3OU09vwQwhkpOPPYv2Y/edit?usp=sharing"",""งบพรบ!EZ16"")"),23500)</f>
        <v>23500</v>
      </c>
      <c r="O338" s="47">
        <f ca="1">IF(L338&gt;0,N338*100/L338,0)</f>
        <v>22.815533980582526</v>
      </c>
      <c r="P338" s="47">
        <f ca="1">IF(M338&gt;0,N338*100/M338,0)</f>
        <v>28.194361127774446</v>
      </c>
    </row>
    <row r="339" spans="1:16" ht="18.75" x14ac:dyDescent="0.25">
      <c r="A339" s="136"/>
      <c r="B339" s="41"/>
      <c r="C339" s="41"/>
      <c r="D339" s="42" t="s">
        <v>21</v>
      </c>
      <c r="E339" s="41"/>
      <c r="F339" s="41"/>
      <c r="G339" s="43"/>
      <c r="H339" s="147" t="s">
        <v>12</v>
      </c>
      <c r="I339" s="144"/>
      <c r="J339" s="144"/>
      <c r="K339" s="145"/>
      <c r="L339" s="47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</row>
    <row r="340" spans="1:16" ht="18.75" hidden="1" x14ac:dyDescent="0.25">
      <c r="A340" s="136"/>
      <c r="B340" s="41"/>
      <c r="C340" s="41"/>
      <c r="D340" s="41"/>
      <c r="E340" s="279" t="s">
        <v>18</v>
      </c>
      <c r="F340" s="41"/>
      <c r="G340" s="43"/>
      <c r="H340" s="146" t="s">
        <v>12</v>
      </c>
      <c r="I340" s="144"/>
      <c r="J340" s="144"/>
      <c r="K340" s="145"/>
      <c r="L340" s="50">
        <v>0</v>
      </c>
      <c r="M340" s="50">
        <v>0</v>
      </c>
      <c r="N340" s="50">
        <v>0</v>
      </c>
      <c r="O340" s="50">
        <f>IF(L340&gt;0,N340*100/L340,0)</f>
        <v>0</v>
      </c>
      <c r="P340" s="50">
        <f>IF(M340&gt;0,N340*100/M340,0)</f>
        <v>0</v>
      </c>
    </row>
    <row r="341" spans="1:16" ht="18.75" x14ac:dyDescent="0.25">
      <c r="A341" s="136"/>
      <c r="B341" s="41"/>
      <c r="C341" s="41"/>
      <c r="D341" s="41"/>
      <c r="E341" s="254" t="s">
        <v>19</v>
      </c>
      <c r="F341" s="41"/>
      <c r="G341" s="43"/>
      <c r="H341" s="147" t="s">
        <v>12</v>
      </c>
      <c r="I341" s="144"/>
      <c r="J341" s="144"/>
      <c r="K341" s="145"/>
      <c r="L341" s="47">
        <f ca="1">IFERROR(__xludf.DUMMYFUNCTION("IMPORTRANGE(""https://docs.google.com/spreadsheets/d/1-uDff_7J0KD5mKrp0Vvzr7lt3OU09vwQwhkpOPPYv2Y/edit?usp=sharing"",""งบพรบ!EV16"")"),0)</f>
        <v>0</v>
      </c>
      <c r="M341" s="47">
        <f ca="1">IFERROR(__xludf.DUMMYFUNCTION("IMPORTRANGE(""https://docs.google.com/spreadsheets/d/1-uDff_7J0KD5mKrp0Vvzr7lt3OU09vwQwhkpOPPYv2Y/edit?usp=sharing"",""งบพรบ!EY16"")"),0)</f>
        <v>0</v>
      </c>
      <c r="N341" s="47">
        <f ca="1">IFERROR(__xludf.DUMMYFUNCTION("IMPORTRANGE(""https://docs.google.com/spreadsheets/d/1-uDff_7J0KD5mKrp0Vvzr7lt3OU09vwQwhkpOPPYv2Y/edit?usp=sharing"",""งบพรบ!FA16"")"),0)</f>
        <v>0</v>
      </c>
      <c r="O341" s="47">
        <f ca="1">IF(L341&gt;0,N341*100/L341,0)</f>
        <v>0</v>
      </c>
      <c r="P341" s="47">
        <f ca="1">IF(M341&gt;0,N341*100/M341,0)</f>
        <v>0</v>
      </c>
    </row>
    <row r="342" spans="1:16" ht="19.5" x14ac:dyDescent="0.3">
      <c r="A342" s="148"/>
      <c r="B342" s="149"/>
      <c r="C342" s="197" t="s">
        <v>16</v>
      </c>
      <c r="D342" s="221" t="s">
        <v>36</v>
      </c>
      <c r="E342" s="151"/>
      <c r="F342" s="151"/>
      <c r="G342" s="152"/>
      <c r="H342" s="43"/>
      <c r="I342" s="45"/>
      <c r="J342" s="45"/>
      <c r="K342" s="46"/>
      <c r="L342" s="46"/>
      <c r="M342" s="46"/>
      <c r="N342" s="46"/>
      <c r="O342" s="145"/>
      <c r="P342" s="145"/>
    </row>
    <row r="343" spans="1:16" ht="19.5" x14ac:dyDescent="0.3">
      <c r="A343" s="337"/>
      <c r="B343" s="338"/>
      <c r="C343" s="339"/>
      <c r="D343" s="338"/>
      <c r="E343" s="398" t="s">
        <v>131</v>
      </c>
      <c r="F343" s="338"/>
      <c r="G343" s="341"/>
      <c r="H343" s="342" t="s">
        <v>33</v>
      </c>
      <c r="I343" s="343">
        <v>0</v>
      </c>
      <c r="J343" s="343">
        <f ca="1">J344+J347+J348+J349</f>
        <v>604</v>
      </c>
      <c r="K343" s="344">
        <v>0</v>
      </c>
      <c r="L343" s="345"/>
      <c r="M343" s="345"/>
      <c r="N343" s="345"/>
      <c r="O343" s="345"/>
      <c r="P343" s="345"/>
    </row>
    <row r="344" spans="1:16" ht="18.75" x14ac:dyDescent="0.25">
      <c r="A344" s="227"/>
      <c r="B344" s="41"/>
      <c r="C344" s="228"/>
      <c r="D344" s="155"/>
      <c r="E344" s="159" t="s">
        <v>132</v>
      </c>
      <c r="F344" s="41"/>
      <c r="G344" s="43"/>
      <c r="H344" s="230" t="s">
        <v>33</v>
      </c>
      <c r="I344" s="169">
        <f ca="1">IFERROR(__xludf.DUMMYFUNCTION("IMPORTRANGE(""https://docs.google.com/spreadsheets/d/1eHaY18a8A9IcSdp1K8H6x8fbOy06t2VsZHhMHf-1x7Y/edit?usp=sharing"",""แผน!EK16"")"),600)</f>
        <v>600</v>
      </c>
      <c r="J344" s="169">
        <f ca="1">IFERROR(__xludf.DUMMYFUNCTION("IMPORTRANGE(""https://docs.google.com/spreadsheets/d/1awYsYK3VOup2i3Pq_Yjnu8DRu_mYwSBnCR2QPthd0rU/edit?usp=sharing"",""ศูนย์ยกเว้นโฉนด!D16"")"),432)</f>
        <v>432</v>
      </c>
      <c r="K344" s="47">
        <f ca="1">IF(I344&gt;0,J344*100/I344,0)</f>
        <v>72</v>
      </c>
      <c r="L344" s="46"/>
      <c r="M344" s="46"/>
      <c r="N344" s="46"/>
      <c r="O344" s="46"/>
      <c r="P344" s="46"/>
    </row>
    <row r="345" spans="1:16" ht="18.75" x14ac:dyDescent="0.25">
      <c r="A345" s="227"/>
      <c r="B345" s="41"/>
      <c r="C345" s="228"/>
      <c r="D345" s="155"/>
      <c r="E345" s="159" t="s">
        <v>133</v>
      </c>
      <c r="F345" s="41"/>
      <c r="G345" s="43"/>
      <c r="H345" s="346"/>
      <c r="I345" s="45"/>
      <c r="J345" s="45"/>
      <c r="K345" s="46"/>
      <c r="L345" s="46"/>
      <c r="M345" s="46"/>
      <c r="N345" s="46"/>
      <c r="O345" s="46"/>
      <c r="P345" s="46"/>
    </row>
    <row r="346" spans="1:16" ht="18.75" x14ac:dyDescent="0.25">
      <c r="A346" s="227"/>
      <c r="B346" s="41"/>
      <c r="C346" s="228"/>
      <c r="D346" s="155"/>
      <c r="E346" s="155"/>
      <c r="F346" s="159" t="s">
        <v>134</v>
      </c>
      <c r="G346" s="43"/>
      <c r="H346" s="347" t="s">
        <v>135</v>
      </c>
      <c r="I346" s="169">
        <f ca="1">IFERROR(__xludf.DUMMYFUNCTION("IMPORTRANGE(""https://docs.google.com/spreadsheets/d/1eHaY18a8A9IcSdp1K8H6x8fbOy06t2VsZHhMHf-1x7Y/edit?usp=sharing"",""แผน!EL16"")"),3)</f>
        <v>3</v>
      </c>
      <c r="J346" s="169">
        <f ca="1">IFERROR(__xludf.DUMMYFUNCTION("IMPORTRANGE(""https://docs.google.com/spreadsheets/d/1awYsYK3VOup2i3Pq_Yjnu8DRu_mYwSBnCR2QPthd0rU/edit?usp=sharing"",""ศูนย์รวม!E16"")"),2)</f>
        <v>2</v>
      </c>
      <c r="K346" s="47">
        <f ca="1">IF(I346&gt;0,J346*100/I346,0)</f>
        <v>66.666666666666671</v>
      </c>
      <c r="L346" s="46"/>
      <c r="M346" s="46"/>
      <c r="N346" s="46"/>
      <c r="O346" s="46"/>
      <c r="P346" s="46"/>
    </row>
    <row r="347" spans="1:16" ht="18.75" x14ac:dyDescent="0.25">
      <c r="A347" s="227"/>
      <c r="B347" s="41"/>
      <c r="C347" s="228"/>
      <c r="D347" s="155"/>
      <c r="E347" s="155"/>
      <c r="F347" s="159" t="s">
        <v>136</v>
      </c>
      <c r="G347" s="43"/>
      <c r="H347" s="347" t="s">
        <v>33</v>
      </c>
      <c r="I347" s="45"/>
      <c r="J347" s="169">
        <f ca="1">IFERROR(__xludf.DUMMYFUNCTION("IMPORTRANGE(""https://docs.google.com/spreadsheets/d/1awYsYK3VOup2i3Pq_Yjnu8DRu_mYwSBnCR2QPthd0rU/edit?usp=sharing"",""ศูนย์ยกเว้นโฉนด!F16"")"),53)</f>
        <v>53</v>
      </c>
      <c r="K347" s="46"/>
      <c r="L347" s="46"/>
      <c r="M347" s="46"/>
      <c r="N347" s="46"/>
      <c r="O347" s="46"/>
      <c r="P347" s="46"/>
    </row>
    <row r="348" spans="1:16" ht="18.75" x14ac:dyDescent="0.25">
      <c r="A348" s="227"/>
      <c r="B348" s="41"/>
      <c r="C348" s="228"/>
      <c r="D348" s="155"/>
      <c r="E348" s="159" t="s">
        <v>137</v>
      </c>
      <c r="F348" s="155"/>
      <c r="G348" s="43"/>
      <c r="H348" s="347" t="s">
        <v>33</v>
      </c>
      <c r="I348" s="45"/>
      <c r="J348" s="169">
        <f ca="1">IFERROR(__xludf.DUMMYFUNCTION("IMPORTRANGE(""https://docs.google.com/spreadsheets/d/1awYsYK3VOup2i3Pq_Yjnu8DRu_mYwSBnCR2QPthd0rU/edit?usp=sharing"",""ศูนย์ยกเว้นโฉนด!G16"")"),119)</f>
        <v>119</v>
      </c>
      <c r="K348" s="46"/>
      <c r="L348" s="46"/>
      <c r="M348" s="46"/>
      <c r="N348" s="46"/>
      <c r="O348" s="46"/>
      <c r="P348" s="46"/>
    </row>
    <row r="349" spans="1:16" ht="18.75" x14ac:dyDescent="0.25">
      <c r="A349" s="227"/>
      <c r="B349" s="41"/>
      <c r="C349" s="228"/>
      <c r="D349" s="149"/>
      <c r="E349" s="159" t="s">
        <v>138</v>
      </c>
      <c r="F349" s="155"/>
      <c r="G349" s="43"/>
      <c r="H349" s="347" t="s">
        <v>33</v>
      </c>
      <c r="I349" s="45"/>
      <c r="J349" s="169">
        <f ca="1">IFERROR(__xludf.DUMMYFUNCTION("IMPORTRANGE(""https://docs.google.com/spreadsheets/d/1awYsYK3VOup2i3Pq_Yjnu8DRu_mYwSBnCR2QPthd0rU/edit?usp=sharing"",""ศูนย์ยกเว้นโฉนด!H16"")"),0)</f>
        <v>0</v>
      </c>
      <c r="K349" s="46"/>
      <c r="L349" s="46"/>
      <c r="M349" s="46"/>
      <c r="N349" s="46"/>
      <c r="O349" s="46"/>
      <c r="P349" s="46"/>
    </row>
    <row r="350" spans="1:16" ht="16.5" x14ac:dyDescent="0.25">
      <c r="A350" s="228"/>
      <c r="B350" s="41"/>
      <c r="C350" s="228"/>
      <c r="D350" s="34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1"/>
      <c r="F350" s="41"/>
      <c r="G350" s="43"/>
      <c r="H350" s="346"/>
      <c r="I350" s="45"/>
      <c r="J350" s="45"/>
      <c r="K350" s="46"/>
      <c r="L350" s="46"/>
      <c r="M350" s="46"/>
      <c r="N350" s="46"/>
      <c r="O350" s="46"/>
      <c r="P350" s="46"/>
    </row>
    <row r="351" spans="1:16" ht="19.5" x14ac:dyDescent="0.3">
      <c r="A351" s="233"/>
      <c r="B351" s="236"/>
      <c r="C351" s="234"/>
      <c r="D351" s="236"/>
      <c r="E351" s="396" t="s">
        <v>139</v>
      </c>
      <c r="F351" s="236"/>
      <c r="G351" s="237"/>
      <c r="H351" s="238" t="s">
        <v>33</v>
      </c>
      <c r="I351" s="239">
        <v>0</v>
      </c>
      <c r="J351" s="239">
        <f ca="1">J352+J353</f>
        <v>1677</v>
      </c>
      <c r="K351" s="240">
        <v>0</v>
      </c>
      <c r="L351" s="241"/>
      <c r="M351" s="241"/>
      <c r="N351" s="241"/>
      <c r="O351" s="241"/>
      <c r="P351" s="241"/>
    </row>
    <row r="352" spans="1:16" ht="18.75" x14ac:dyDescent="0.25">
      <c r="A352" s="228"/>
      <c r="B352" s="41"/>
      <c r="C352" s="228"/>
      <c r="D352" s="155"/>
      <c r="E352" s="159" t="s">
        <v>140</v>
      </c>
      <c r="F352" s="41"/>
      <c r="G352" s="43"/>
      <c r="H352" s="142" t="s">
        <v>33</v>
      </c>
      <c r="I352" s="45"/>
      <c r="J352" s="169">
        <f ca="1">IFERROR(__xludf.DUMMYFUNCTION("IMPORTRANGE(""https://docs.google.com/spreadsheets/d/1awYsYK3VOup2i3Pq_Yjnu8DRu_mYwSBnCR2QPthd0rU/edit?usp=sharing"",""โฉนดM3!G16"")"),285)</f>
        <v>285</v>
      </c>
      <c r="K352" s="46"/>
      <c r="L352" s="46"/>
      <c r="M352" s="46"/>
      <c r="N352" s="46"/>
      <c r="O352" s="46"/>
      <c r="P352" s="46"/>
    </row>
    <row r="353" spans="1:16" ht="18.75" x14ac:dyDescent="0.25">
      <c r="A353" s="228"/>
      <c r="B353" s="41"/>
      <c r="C353" s="228"/>
      <c r="D353" s="155"/>
      <c r="E353" s="159" t="s">
        <v>141</v>
      </c>
      <c r="F353" s="41"/>
      <c r="G353" s="43"/>
      <c r="H353" s="142" t="s">
        <v>33</v>
      </c>
      <c r="I353" s="45"/>
      <c r="J353" s="169">
        <f ca="1">IFERROR(__xludf.DUMMYFUNCTION("IMPORTRANGE(""https://docs.google.com/spreadsheets/d/1awYsYK3VOup2i3Pq_Yjnu8DRu_mYwSBnCR2QPthd0rU/edit?usp=sharing"",""โฉนดM3!H16"")"),1392)</f>
        <v>1392</v>
      </c>
      <c r="K353" s="46"/>
      <c r="L353" s="46"/>
      <c r="M353" s="46"/>
      <c r="N353" s="46"/>
      <c r="O353" s="46"/>
      <c r="P353" s="46"/>
    </row>
    <row r="354" spans="1:16" ht="16.5" x14ac:dyDescent="0.25">
      <c r="A354" s="228"/>
      <c r="B354" s="41"/>
      <c r="C354" s="228"/>
      <c r="D354" s="34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1"/>
      <c r="F354" s="41"/>
      <c r="G354" s="43"/>
      <c r="H354" s="346"/>
      <c r="I354" s="45"/>
      <c r="J354" s="45"/>
      <c r="K354" s="46"/>
      <c r="L354" s="46"/>
      <c r="M354" s="46"/>
      <c r="N354" s="46"/>
      <c r="O354" s="46"/>
      <c r="P354" s="46"/>
    </row>
    <row r="355" spans="1:16" ht="19.5" x14ac:dyDescent="0.3">
      <c r="A355" s="323"/>
      <c r="B355" s="324" t="s">
        <v>142</v>
      </c>
      <c r="C355" s="333"/>
      <c r="D355" s="325"/>
      <c r="E355" s="325"/>
      <c r="F355" s="325"/>
      <c r="G355" s="326"/>
      <c r="H355" s="326"/>
      <c r="I355" s="350"/>
      <c r="J355" s="350"/>
      <c r="K355" s="330"/>
      <c r="L355" s="330"/>
      <c r="M355" s="330"/>
      <c r="N355" s="330"/>
      <c r="O355" s="330"/>
      <c r="P355" s="330"/>
    </row>
    <row r="356" spans="1:16" ht="19.5" x14ac:dyDescent="0.3">
      <c r="A356" s="136"/>
      <c r="B356" s="41"/>
      <c r="C356" s="197" t="s">
        <v>16</v>
      </c>
      <c r="D356" s="397" t="s">
        <v>17</v>
      </c>
      <c r="E356" s="41"/>
      <c r="F356" s="41"/>
      <c r="G356" s="43"/>
      <c r="H356" s="139" t="s">
        <v>12</v>
      </c>
      <c r="I356" s="45"/>
      <c r="J356" s="45"/>
      <c r="K356" s="46"/>
      <c r="L356" s="140">
        <f ca="1">L357+L358</f>
        <v>352735</v>
      </c>
      <c r="M356" s="140">
        <f ca="1">M357+M358</f>
        <v>298655</v>
      </c>
      <c r="N356" s="140">
        <f ca="1">N357+N358</f>
        <v>62296.68</v>
      </c>
      <c r="O356" s="140">
        <f ca="1">IF(L356&gt;0,N356*100/L356,0)</f>
        <v>17.661042992614853</v>
      </c>
      <c r="P356" s="140">
        <f ca="1">IF(M356&gt;0,N356*100/M356,0)</f>
        <v>20.859078200599352</v>
      </c>
    </row>
    <row r="357" spans="1:16" ht="18.75" hidden="1" x14ac:dyDescent="0.25">
      <c r="A357" s="136"/>
      <c r="B357" s="41"/>
      <c r="C357" s="41"/>
      <c r="D357" s="41"/>
      <c r="E357" s="279" t="s">
        <v>18</v>
      </c>
      <c r="F357" s="41"/>
      <c r="G357" s="43"/>
      <c r="H357" s="141" t="s">
        <v>12</v>
      </c>
      <c r="I357" s="45"/>
      <c r="J357" s="45"/>
      <c r="K357" s="46"/>
      <c r="L357" s="50">
        <f>L360+L363</f>
        <v>0</v>
      </c>
      <c r="M357" s="50">
        <f>M360+M363</f>
        <v>0</v>
      </c>
      <c r="N357" s="50">
        <f>N360+N363</f>
        <v>0</v>
      </c>
      <c r="O357" s="50">
        <f>IF(L357&gt;0,N357*100/L357,0)</f>
        <v>0</v>
      </c>
      <c r="P357" s="50">
        <f>IF(M357&gt;0,N357*100/M357,0)</f>
        <v>0</v>
      </c>
    </row>
    <row r="358" spans="1:16" ht="18.75" x14ac:dyDescent="0.25">
      <c r="A358" s="136"/>
      <c r="B358" s="41"/>
      <c r="C358" s="41"/>
      <c r="D358" s="41"/>
      <c r="E358" s="254" t="s">
        <v>19</v>
      </c>
      <c r="F358" s="41"/>
      <c r="G358" s="43"/>
      <c r="H358" s="142" t="s">
        <v>12</v>
      </c>
      <c r="I358" s="45"/>
      <c r="J358" s="45"/>
      <c r="K358" s="46"/>
      <c r="L358" s="47">
        <f ca="1">L361+L364</f>
        <v>352735</v>
      </c>
      <c r="M358" s="47">
        <f ca="1">M361+M364</f>
        <v>298655</v>
      </c>
      <c r="N358" s="47">
        <f ca="1">N361+N364</f>
        <v>62296.68</v>
      </c>
      <c r="O358" s="47">
        <f ca="1">IF(L358&gt;0,N358*100/L358,0)</f>
        <v>17.661042992614853</v>
      </c>
      <c r="P358" s="47">
        <f ca="1">IF(M358&gt;0,N358*100/M358,0)</f>
        <v>20.859078200599352</v>
      </c>
    </row>
    <row r="359" spans="1:16" ht="18.75" x14ac:dyDescent="0.25">
      <c r="A359" s="136"/>
      <c r="B359" s="41"/>
      <c r="C359" s="41"/>
      <c r="D359" s="42" t="s">
        <v>20</v>
      </c>
      <c r="E359" s="41"/>
      <c r="F359" s="41"/>
      <c r="G359" s="43"/>
      <c r="H359" s="143" t="s">
        <v>12</v>
      </c>
      <c r="I359" s="144"/>
      <c r="J359" s="144"/>
      <c r="K359" s="145"/>
      <c r="L359" s="47">
        <f ca="1">L360+L361</f>
        <v>352735</v>
      </c>
      <c r="M359" s="47">
        <f ca="1">M360+M361</f>
        <v>298655</v>
      </c>
      <c r="N359" s="47">
        <f ca="1">N360+N361</f>
        <v>62296.68</v>
      </c>
      <c r="O359" s="47">
        <f ca="1">IF(L359&gt;0,N359*100/L359,0)</f>
        <v>17.661042992614853</v>
      </c>
      <c r="P359" s="47">
        <f ca="1">IF(M359&gt;0,N359*100/M359,0)</f>
        <v>20.859078200599352</v>
      </c>
    </row>
    <row r="360" spans="1:16" ht="18.75" hidden="1" x14ac:dyDescent="0.25">
      <c r="A360" s="136"/>
      <c r="B360" s="41"/>
      <c r="C360" s="41"/>
      <c r="D360" s="41"/>
      <c r="E360" s="279" t="s">
        <v>34</v>
      </c>
      <c r="F360" s="41"/>
      <c r="G360" s="43"/>
      <c r="H360" s="146" t="s">
        <v>12</v>
      </c>
      <c r="I360" s="144"/>
      <c r="J360" s="144"/>
      <c r="K360" s="145"/>
      <c r="L360" s="50">
        <v>0</v>
      </c>
      <c r="M360" s="50">
        <v>0</v>
      </c>
      <c r="N360" s="50">
        <v>0</v>
      </c>
      <c r="O360" s="50">
        <f>IF(L360&gt;0,N360*100/L360,0)</f>
        <v>0</v>
      </c>
      <c r="P360" s="50">
        <f>IF(M360&gt;0,N360*100/M360,0)</f>
        <v>0</v>
      </c>
    </row>
    <row r="361" spans="1:16" ht="18.75" x14ac:dyDescent="0.25">
      <c r="A361" s="136"/>
      <c r="B361" s="41"/>
      <c r="C361" s="41"/>
      <c r="D361" s="41"/>
      <c r="E361" s="254" t="s">
        <v>35</v>
      </c>
      <c r="F361" s="41"/>
      <c r="G361" s="43"/>
      <c r="H361" s="143" t="s">
        <v>12</v>
      </c>
      <c r="I361" s="144"/>
      <c r="J361" s="144"/>
      <c r="K361" s="145"/>
      <c r="L361" s="47">
        <f ca="1">IFERROR(__xludf.DUMMYFUNCTION("IMPORTRANGE(""https://docs.google.com/spreadsheets/d/1-uDff_7J0KD5mKrp0Vvzr7lt3OU09vwQwhkpOPPYv2Y/edit?usp=sharing"",""งบพรบ!FC16"")"),352735)</f>
        <v>352735</v>
      </c>
      <c r="M361" s="47">
        <f ca="1">IFERROR(__xludf.DUMMYFUNCTION("IMPORTRANGE(""https://docs.google.com/spreadsheets/d/1-uDff_7J0KD5mKrp0Vvzr7lt3OU09vwQwhkpOPPYv2Y/edit?usp=sharing"",""งบพรบ!FH16"")"),298655)</f>
        <v>298655</v>
      </c>
      <c r="N361" s="47">
        <f ca="1">IFERROR(__xludf.DUMMYFUNCTION("IMPORTRANGE(""https://docs.google.com/spreadsheets/d/1-uDff_7J0KD5mKrp0Vvzr7lt3OU09vwQwhkpOPPYv2Y/edit?usp=sharing"",""งบพรบ!FJ16"")"),62296.68)</f>
        <v>62296.68</v>
      </c>
      <c r="O361" s="47">
        <f ca="1">IF(L361&gt;0,N361*100/L361,0)</f>
        <v>17.661042992614853</v>
      </c>
      <c r="P361" s="47">
        <f ca="1">IF(M361&gt;0,N361*100/M361,0)</f>
        <v>20.859078200599352</v>
      </c>
    </row>
    <row r="362" spans="1:16" ht="18.75" x14ac:dyDescent="0.25">
      <c r="A362" s="136"/>
      <c r="B362" s="41"/>
      <c r="C362" s="41"/>
      <c r="D362" s="42" t="s">
        <v>21</v>
      </c>
      <c r="E362" s="41"/>
      <c r="F362" s="41"/>
      <c r="G362" s="43"/>
      <c r="H362" s="147" t="s">
        <v>12</v>
      </c>
      <c r="I362" s="144"/>
      <c r="J362" s="144"/>
      <c r="K362" s="145"/>
      <c r="L362" s="47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</row>
    <row r="363" spans="1:16" ht="18.75" hidden="1" x14ac:dyDescent="0.25">
      <c r="A363" s="136"/>
      <c r="B363" s="41"/>
      <c r="C363" s="41"/>
      <c r="D363" s="41"/>
      <c r="E363" s="279" t="s">
        <v>18</v>
      </c>
      <c r="F363" s="41"/>
      <c r="G363" s="43"/>
      <c r="H363" s="146" t="s">
        <v>12</v>
      </c>
      <c r="I363" s="144"/>
      <c r="J363" s="144"/>
      <c r="K363" s="145"/>
      <c r="L363" s="50">
        <v>0</v>
      </c>
      <c r="M363" s="50">
        <v>0</v>
      </c>
      <c r="N363" s="50">
        <v>0</v>
      </c>
      <c r="O363" s="50">
        <f>IF(L363&gt;0,N363*100/L363,0)</f>
        <v>0</v>
      </c>
      <c r="P363" s="50">
        <f>IF(M363&gt;0,N363*100/M363,0)</f>
        <v>0</v>
      </c>
    </row>
    <row r="364" spans="1:16" ht="18.75" x14ac:dyDescent="0.25">
      <c r="A364" s="136"/>
      <c r="B364" s="41"/>
      <c r="C364" s="41"/>
      <c r="D364" s="41"/>
      <c r="E364" s="254" t="s">
        <v>19</v>
      </c>
      <c r="F364" s="41"/>
      <c r="G364" s="43"/>
      <c r="H364" s="147" t="s">
        <v>12</v>
      </c>
      <c r="I364" s="144"/>
      <c r="J364" s="144"/>
      <c r="K364" s="145"/>
      <c r="L364" s="47">
        <f ca="1">IFERROR(__xludf.DUMMYFUNCTION("IMPORTRANGE(""https://docs.google.com/spreadsheets/d/1-uDff_7J0KD5mKrp0Vvzr7lt3OU09vwQwhkpOPPYv2Y/edit?usp=sharing"",""งบพรบ!FF16"")"),0)</f>
        <v>0</v>
      </c>
      <c r="M364" s="47">
        <f ca="1">IFERROR(__xludf.DUMMYFUNCTION("IMPORTRANGE(""https://docs.google.com/spreadsheets/d/1-uDff_7J0KD5mKrp0Vvzr7lt3OU09vwQwhkpOPPYv2Y/edit?usp=sharing"",""งบพรบ!FI16"")"),0)</f>
        <v>0</v>
      </c>
      <c r="N364" s="47">
        <f ca="1">IFERROR(__xludf.DUMMYFUNCTION("IMPORTRANGE(""https://docs.google.com/spreadsheets/d/1-uDff_7J0KD5mKrp0Vvzr7lt3OU09vwQwhkpOPPYv2Y/edit?usp=sharing"",""งบพรบ!FK16"")"),0)</f>
        <v>0</v>
      </c>
      <c r="O364" s="47">
        <f ca="1">IF(L364&gt;0,N364*100/L364,0)</f>
        <v>0</v>
      </c>
      <c r="P364" s="47">
        <f ca="1">IF(M364&gt;0,N364*100/M364,0)</f>
        <v>0</v>
      </c>
    </row>
    <row r="365" spans="1:16" ht="19.5" x14ac:dyDescent="0.3">
      <c r="A365" s="233"/>
      <c r="B365" s="234"/>
      <c r="C365" s="236"/>
      <c r="D365" s="396" t="s">
        <v>143</v>
      </c>
      <c r="E365" s="236"/>
      <c r="F365" s="236"/>
      <c r="G365" s="237"/>
      <c r="H365" s="245" t="s">
        <v>33</v>
      </c>
      <c r="I365" s="239">
        <f ca="1">I371</f>
        <v>114</v>
      </c>
      <c r="J365" s="239">
        <f ca="1">J371</f>
        <v>0</v>
      </c>
      <c r="K365" s="240">
        <f ca="1">IF(I365&gt;0,J365*100/I365,0)</f>
        <v>0</v>
      </c>
      <c r="L365" s="241"/>
      <c r="M365" s="241"/>
      <c r="N365" s="241"/>
      <c r="O365" s="241"/>
      <c r="P365" s="241"/>
    </row>
    <row r="366" spans="1:16" ht="19.5" hidden="1" x14ac:dyDescent="0.3">
      <c r="A366" s="148"/>
      <c r="B366" s="149"/>
      <c r="C366" s="197" t="s">
        <v>16</v>
      </c>
      <c r="D366" s="395" t="s">
        <v>36</v>
      </c>
      <c r="E366" s="151"/>
      <c r="F366" s="151"/>
      <c r="G366" s="152"/>
      <c r="H366" s="153"/>
      <c r="I366" s="45"/>
      <c r="J366" s="45"/>
      <c r="K366" s="46"/>
      <c r="L366" s="145"/>
      <c r="M366" s="145"/>
      <c r="N366" s="145"/>
      <c r="O366" s="145"/>
      <c r="P366" s="145"/>
    </row>
    <row r="367" spans="1:16" ht="18.75" x14ac:dyDescent="0.25">
      <c r="A367" s="148"/>
      <c r="B367" s="155"/>
      <c r="C367" s="149"/>
      <c r="D367" s="155"/>
      <c r="E367" s="154" t="s">
        <v>144</v>
      </c>
      <c r="F367" s="155"/>
      <c r="G367" s="153"/>
      <c r="H367" s="164" t="s">
        <v>33</v>
      </c>
      <c r="I367" s="169">
        <v>0</v>
      </c>
      <c r="J367" s="169">
        <f ca="1">IFERROR(__xludf.DUMMYFUNCTION("IMPORTRANGE(""https://docs.google.com/spreadsheets/d/1tdoBKaGub7dwA3U6UFTqxio9LNnvDCQjHKmttSEBsFQ/edit?usp=sharing"",""จัดที่ดิน!AB16"")"),39)</f>
        <v>39</v>
      </c>
      <c r="K367" s="47">
        <f>IF(I367&gt;0,J367*100/I367,0)</f>
        <v>0</v>
      </c>
      <c r="L367" s="145"/>
      <c r="M367" s="145"/>
      <c r="N367" s="145"/>
      <c r="O367" s="145"/>
      <c r="P367" s="145"/>
    </row>
    <row r="368" spans="1:16" ht="18.75" x14ac:dyDescent="0.25">
      <c r="A368" s="148"/>
      <c r="B368" s="155"/>
      <c r="C368" s="149"/>
      <c r="D368" s="155"/>
      <c r="E368" s="155"/>
      <c r="F368" s="155"/>
      <c r="G368" s="153"/>
      <c r="H368" s="164" t="s">
        <v>44</v>
      </c>
      <c r="I368" s="169">
        <f ca="1">IFERROR(__xludf.DUMMYFUNCTION("IMPORTRANGE(""https://docs.google.com/spreadsheets/d/1eHaY18a8A9IcSdp1K8H6x8fbOy06t2VsZHhMHf-1x7Y/edit?usp=sharing"",""แผน!EW16"")"),905)</f>
        <v>905</v>
      </c>
      <c r="J368" s="351">
        <f ca="1">IFERROR(__xludf.DUMMYFUNCTION("IMPORTRANGE(""https://docs.google.com/spreadsheets/d/1tdoBKaGub7dwA3U6UFTqxio9LNnvDCQjHKmttSEBsFQ/edit?usp=sharing"",""จัดที่ดิน!AC16"")"),175.81)</f>
        <v>175.81</v>
      </c>
      <c r="K368" s="47">
        <f ca="1">IF(I368&gt;0,J368*100/I368,0)</f>
        <v>19.426519337016575</v>
      </c>
      <c r="L368" s="145"/>
      <c r="M368" s="145"/>
      <c r="N368" s="145"/>
      <c r="O368" s="145"/>
      <c r="P368" s="145"/>
    </row>
    <row r="369" spans="1:16" ht="18.75" x14ac:dyDescent="0.25">
      <c r="A369" s="148"/>
      <c r="B369" s="155"/>
      <c r="C369" s="149"/>
      <c r="D369" s="155"/>
      <c r="E369" s="154" t="s">
        <v>145</v>
      </c>
      <c r="F369" s="155"/>
      <c r="G369" s="153"/>
      <c r="H369" s="251" t="s">
        <v>33</v>
      </c>
      <c r="I369" s="169">
        <f ca="1">IFERROR(__xludf.DUMMYFUNCTION("IMPORTRANGE(""https://docs.google.com/spreadsheets/d/1eHaY18a8A9IcSdp1K8H6x8fbOy06t2VsZHhMHf-1x7Y/edit?usp=sharing"",""แผน!EX16"")"),131)</f>
        <v>131</v>
      </c>
      <c r="J369" s="169">
        <f ca="1">IFERROR(__xludf.DUMMYFUNCTION("IMPORTRANGE(""https://docs.google.com/spreadsheets/d/1tdoBKaGub7dwA3U6UFTqxio9LNnvDCQjHKmttSEBsFQ/edit?usp=sharing"",""จัดที่ดิน!AD16"")"),38)</f>
        <v>38</v>
      </c>
      <c r="K369" s="47">
        <f ca="1">IF(I369&gt;0,J369*100/I369,0)</f>
        <v>29.007633587786259</v>
      </c>
      <c r="L369" s="145"/>
      <c r="M369" s="145"/>
      <c r="N369" s="145"/>
      <c r="O369" s="145"/>
      <c r="P369" s="145"/>
    </row>
    <row r="370" spans="1:16" ht="18.75" x14ac:dyDescent="0.25">
      <c r="A370" s="148"/>
      <c r="B370" s="155"/>
      <c r="C370" s="149"/>
      <c r="D370" s="155"/>
      <c r="E370" s="155"/>
      <c r="F370" s="155"/>
      <c r="G370" s="153"/>
      <c r="H370" s="251" t="s">
        <v>44</v>
      </c>
      <c r="I370" s="169">
        <v>0</v>
      </c>
      <c r="J370" s="351">
        <f ca="1">IFERROR(__xludf.DUMMYFUNCTION("IMPORTRANGE(""https://docs.google.com/spreadsheets/d/1tdoBKaGub7dwA3U6UFTqxio9LNnvDCQjHKmttSEBsFQ/edit?usp=sharing"",""จัดที่ดิน!AE16"")"),267.77)</f>
        <v>267.77</v>
      </c>
      <c r="K370" s="47">
        <f>IF(I370&gt;0,J370*100/I370,0)</f>
        <v>0</v>
      </c>
      <c r="L370" s="145"/>
      <c r="M370" s="145"/>
      <c r="N370" s="145"/>
      <c r="O370" s="145"/>
      <c r="P370" s="145"/>
    </row>
    <row r="371" spans="1:16" ht="18.75" x14ac:dyDescent="0.25">
      <c r="A371" s="148"/>
      <c r="B371" s="155"/>
      <c r="C371" s="149"/>
      <c r="D371" s="155"/>
      <c r="E371" s="154" t="s">
        <v>146</v>
      </c>
      <c r="F371" s="155"/>
      <c r="G371" s="153"/>
      <c r="H371" s="251" t="s">
        <v>33</v>
      </c>
      <c r="I371" s="169">
        <f ca="1">IFERROR(__xludf.DUMMYFUNCTION("IMPORTRANGE(""https://docs.google.com/spreadsheets/d/1eHaY18a8A9IcSdp1K8H6x8fbOy06t2VsZHhMHf-1x7Y/edit?usp=sharing"",""แผน!EY16"")"),114)</f>
        <v>114</v>
      </c>
      <c r="J371" s="169">
        <f ca="1">IFERROR(__xludf.DUMMYFUNCTION("IMPORTRANGE(""https://docs.google.com/spreadsheets/d/1tdoBKaGub7dwA3U6UFTqxio9LNnvDCQjHKmttSEBsFQ/edit?usp=sharing"",""จัดที่ดิน!AF16"")"),0)</f>
        <v>0</v>
      </c>
      <c r="K371" s="47">
        <f ca="1">IF(I371&gt;0,J371*100/I371,0)</f>
        <v>0</v>
      </c>
      <c r="L371" s="145"/>
      <c r="M371" s="145"/>
      <c r="N371" s="145"/>
      <c r="O371" s="145"/>
      <c r="P371" s="145"/>
    </row>
    <row r="372" spans="1:16" ht="18.75" x14ac:dyDescent="0.25">
      <c r="A372" s="148"/>
      <c r="B372" s="155"/>
      <c r="C372" s="149"/>
      <c r="D372" s="155"/>
      <c r="E372" s="155"/>
      <c r="F372" s="155"/>
      <c r="G372" s="153"/>
      <c r="H372" s="251" t="s">
        <v>44</v>
      </c>
      <c r="I372" s="169">
        <v>0</v>
      </c>
      <c r="J372" s="351">
        <f ca="1">IFERROR(__xludf.DUMMYFUNCTION("IMPORTRANGE(""https://docs.google.com/spreadsheets/d/1tdoBKaGub7dwA3U6UFTqxio9LNnvDCQjHKmttSEBsFQ/edit?usp=sharing"",""จัดที่ดิน!AG16"")"),0)</f>
        <v>0</v>
      </c>
      <c r="K372" s="47">
        <f>IF(I372&gt;0,J372*100/I372,0)</f>
        <v>0</v>
      </c>
      <c r="L372" s="145"/>
      <c r="M372" s="145"/>
      <c r="N372" s="145"/>
      <c r="O372" s="145"/>
      <c r="P372" s="145"/>
    </row>
    <row r="373" spans="1:16" ht="16.5" x14ac:dyDescent="0.25">
      <c r="A373" s="2"/>
      <c r="B373" s="1"/>
      <c r="C373" s="2"/>
      <c r="D373" s="352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4"/>
      <c r="H373" s="54"/>
      <c r="I373" s="56"/>
      <c r="J373" s="56"/>
      <c r="K373" s="57"/>
      <c r="L373" s="57"/>
      <c r="M373" s="57"/>
      <c r="N373" s="57"/>
      <c r="O373" s="57"/>
      <c r="P373" s="57"/>
    </row>
    <row r="374" spans="1:16" ht="19.5" hidden="1" x14ac:dyDescent="0.3">
      <c r="A374" s="353" t="s">
        <v>147</v>
      </c>
      <c r="B374" s="354"/>
      <c r="C374" s="354"/>
      <c r="D374" s="354"/>
      <c r="E374" s="355"/>
      <c r="F374" s="355"/>
      <c r="G374" s="355"/>
      <c r="H374" s="355"/>
      <c r="I374" s="356"/>
      <c r="J374" s="356"/>
      <c r="K374" s="357"/>
      <c r="L374" s="357"/>
      <c r="M374" s="357"/>
      <c r="N374" s="357"/>
      <c r="O374" s="357"/>
      <c r="P374" s="358"/>
    </row>
    <row r="375" spans="1:16" ht="19.5" hidden="1" x14ac:dyDescent="0.3">
      <c r="A375" s="359" t="s">
        <v>148</v>
      </c>
      <c r="B375" s="360"/>
      <c r="C375" s="360"/>
      <c r="D375" s="361"/>
      <c r="E375" s="360"/>
      <c r="F375" s="360"/>
      <c r="G375" s="360"/>
      <c r="H375" s="362"/>
      <c r="I375" s="363"/>
      <c r="J375" s="363"/>
      <c r="K375" s="364"/>
      <c r="L375" s="364"/>
      <c r="M375" s="364"/>
      <c r="N375" s="364"/>
      <c r="O375" s="364"/>
      <c r="P375" s="364"/>
    </row>
    <row r="376" spans="1:16" ht="19.5" hidden="1" x14ac:dyDescent="0.3">
      <c r="A376" s="365"/>
      <c r="B376" s="366" t="s">
        <v>149</v>
      </c>
      <c r="C376" s="367"/>
      <c r="D376" s="368"/>
      <c r="E376" s="368"/>
      <c r="F376" s="368"/>
      <c r="G376" s="369"/>
      <c r="H376" s="370" t="s">
        <v>54</v>
      </c>
      <c r="I376" s="371">
        <f>I388</f>
        <v>0</v>
      </c>
      <c r="J376" s="371">
        <f>J388</f>
        <v>0</v>
      </c>
      <c r="K376" s="372">
        <f>IF(I376&gt;0,J376*100/I376,0)</f>
        <v>0</v>
      </c>
      <c r="L376" s="373"/>
      <c r="M376" s="373"/>
      <c r="N376" s="373"/>
      <c r="O376" s="373"/>
      <c r="P376" s="373"/>
    </row>
    <row r="377" spans="1:16" ht="19.5" hidden="1" x14ac:dyDescent="0.3">
      <c r="A377" s="136"/>
      <c r="B377" s="41"/>
      <c r="C377" s="260" t="s">
        <v>16</v>
      </c>
      <c r="D377" s="261" t="s">
        <v>17</v>
      </c>
      <c r="E377" s="41"/>
      <c r="F377" s="41"/>
      <c r="G377" s="43"/>
      <c r="H377" s="277" t="s">
        <v>12</v>
      </c>
      <c r="I377" s="45"/>
      <c r="J377" s="45"/>
      <c r="K377" s="46"/>
      <c r="L377" s="263">
        <f ca="1">L378+L379</f>
        <v>0</v>
      </c>
      <c r="M377" s="263">
        <f ca="1">M378+M379</f>
        <v>0</v>
      </c>
      <c r="N377" s="263">
        <f ca="1">N378+N379</f>
        <v>0</v>
      </c>
      <c r="O377" s="263">
        <f ca="1">IF(L377&gt;0,N377*100/L377,0)</f>
        <v>0</v>
      </c>
      <c r="P377" s="263">
        <f ca="1">IF(M377&gt;0,N377*100/M377,0)</f>
        <v>0</v>
      </c>
    </row>
    <row r="378" spans="1:16" ht="18.75" hidden="1" x14ac:dyDescent="0.25">
      <c r="A378" s="136"/>
      <c r="B378" s="41"/>
      <c r="C378" s="41"/>
      <c r="D378" s="41"/>
      <c r="E378" s="279" t="s">
        <v>18</v>
      </c>
      <c r="F378" s="41"/>
      <c r="G378" s="43"/>
      <c r="H378" s="141" t="s">
        <v>12</v>
      </c>
      <c r="I378" s="45"/>
      <c r="J378" s="45"/>
      <c r="K378" s="46"/>
      <c r="L378" s="50">
        <f>L381+L384</f>
        <v>0</v>
      </c>
      <c r="M378" s="50">
        <f>M381+M384</f>
        <v>0</v>
      </c>
      <c r="N378" s="50">
        <f>N381+N384</f>
        <v>0</v>
      </c>
      <c r="O378" s="50">
        <f>IF(L378&gt;0,N378*100/L378,0)</f>
        <v>0</v>
      </c>
      <c r="P378" s="50">
        <f>IF(M378&gt;0,N378*100/M378,0)</f>
        <v>0</v>
      </c>
    </row>
    <row r="379" spans="1:16" ht="18.75" hidden="1" x14ac:dyDescent="0.25">
      <c r="A379" s="136"/>
      <c r="B379" s="41"/>
      <c r="C379" s="41"/>
      <c r="D379" s="41"/>
      <c r="E379" s="279" t="s">
        <v>19</v>
      </c>
      <c r="F379" s="41"/>
      <c r="G379" s="43"/>
      <c r="H379" s="141" t="s">
        <v>12</v>
      </c>
      <c r="I379" s="45"/>
      <c r="J379" s="45"/>
      <c r="K379" s="46"/>
      <c r="L379" s="50">
        <f ca="1">L382+L385</f>
        <v>0</v>
      </c>
      <c r="M379" s="50">
        <f ca="1">M382+M385</f>
        <v>0</v>
      </c>
      <c r="N379" s="50">
        <f ca="1">N382+N385</f>
        <v>0</v>
      </c>
      <c r="O379" s="50">
        <f ca="1">IF(L379&gt;0,N379*100/L379,0)</f>
        <v>0</v>
      </c>
      <c r="P379" s="50">
        <f ca="1">IF(M379&gt;0,N379*100/M379,0)</f>
        <v>0</v>
      </c>
    </row>
    <row r="380" spans="1:16" ht="18.75" hidden="1" x14ac:dyDescent="0.25">
      <c r="A380" s="136"/>
      <c r="B380" s="41"/>
      <c r="C380" s="41"/>
      <c r="D380" s="278" t="s">
        <v>20</v>
      </c>
      <c r="E380" s="41"/>
      <c r="F380" s="41"/>
      <c r="G380" s="43"/>
      <c r="H380" s="146" t="s">
        <v>12</v>
      </c>
      <c r="I380" s="144"/>
      <c r="J380" s="144"/>
      <c r="K380" s="145"/>
      <c r="L380" s="50">
        <f ca="1">L381+L382</f>
        <v>0</v>
      </c>
      <c r="M380" s="50">
        <f ca="1">M381+M382</f>
        <v>0</v>
      </c>
      <c r="N380" s="50">
        <f ca="1">N381+N382</f>
        <v>0</v>
      </c>
      <c r="O380" s="50">
        <f ca="1">IF(L380&gt;0,N380*100/L380,0)</f>
        <v>0</v>
      </c>
      <c r="P380" s="50">
        <f ca="1">IF(M380&gt;0,N380*100/M380,0)</f>
        <v>0</v>
      </c>
    </row>
    <row r="381" spans="1:16" ht="18.75" hidden="1" x14ac:dyDescent="0.25">
      <c r="A381" s="136"/>
      <c r="B381" s="41"/>
      <c r="C381" s="41"/>
      <c r="D381" s="41"/>
      <c r="E381" s="279" t="s">
        <v>34</v>
      </c>
      <c r="F381" s="41"/>
      <c r="G381" s="43"/>
      <c r="H381" s="146" t="s">
        <v>12</v>
      </c>
      <c r="I381" s="144"/>
      <c r="J381" s="144"/>
      <c r="K381" s="145"/>
      <c r="L381" s="50">
        <v>0</v>
      </c>
      <c r="M381" s="50">
        <v>0</v>
      </c>
      <c r="N381" s="50">
        <v>0</v>
      </c>
      <c r="O381" s="50">
        <f>IF(L381&gt;0,N381*100/L381,0)</f>
        <v>0</v>
      </c>
      <c r="P381" s="50">
        <f>IF(M381&gt;0,N381*100/M381,0)</f>
        <v>0</v>
      </c>
    </row>
    <row r="382" spans="1:16" ht="18.75" hidden="1" x14ac:dyDescent="0.25">
      <c r="A382" s="136"/>
      <c r="B382" s="41"/>
      <c r="C382" s="41"/>
      <c r="D382" s="41"/>
      <c r="E382" s="279" t="s">
        <v>35</v>
      </c>
      <c r="F382" s="41"/>
      <c r="G382" s="43"/>
      <c r="H382" s="146" t="s">
        <v>12</v>
      </c>
      <c r="I382" s="144"/>
      <c r="J382" s="144"/>
      <c r="K382" s="145"/>
      <c r="L382" s="50">
        <f ca="1">IFERROR(__xludf.DUMMYFUNCTION("IMPORTRANGE(""https://docs.google.com/spreadsheets/d/1-uDff_7J0KD5mKrp0Vvzr7lt3OU09vwQwhkpOPPYv2Y/edit?usp=sharing"",""งบพรบ!FM16"")"),0)</f>
        <v>0</v>
      </c>
      <c r="M382" s="50">
        <f ca="1">IFERROR(__xludf.DUMMYFUNCTION("IMPORTRANGE(""https://docs.google.com/spreadsheets/d/1-uDff_7J0KD5mKrp0Vvzr7lt3OU09vwQwhkpOPPYv2Y/edit?usp=sharing"",""งบพรบ!FR16"")"),0)</f>
        <v>0</v>
      </c>
      <c r="N382" s="50">
        <f ca="1">IFERROR(__xludf.DUMMYFUNCTION("IMPORTRANGE(""https://docs.google.com/spreadsheets/d/1-uDff_7J0KD5mKrp0Vvzr7lt3OU09vwQwhkpOPPYv2Y/edit?usp=sharing"",""งบพรบ!FT16"")"),0)</f>
        <v>0</v>
      </c>
      <c r="O382" s="50">
        <f ca="1">IF(L382&gt;0,N382*100/L382,0)</f>
        <v>0</v>
      </c>
      <c r="P382" s="50">
        <f ca="1">IF(M382&gt;0,N382*100/M382,0)</f>
        <v>0</v>
      </c>
    </row>
    <row r="383" spans="1:16" ht="18.75" hidden="1" x14ac:dyDescent="0.25">
      <c r="A383" s="136"/>
      <c r="B383" s="41"/>
      <c r="C383" s="41"/>
      <c r="D383" s="278" t="s">
        <v>21</v>
      </c>
      <c r="E383" s="41"/>
      <c r="F383" s="41"/>
      <c r="G383" s="43"/>
      <c r="H383" s="199" t="s">
        <v>12</v>
      </c>
      <c r="I383" s="144"/>
      <c r="J383" s="144"/>
      <c r="K383" s="145"/>
      <c r="L383" s="50">
        <f ca="1">L384+L385</f>
        <v>0</v>
      </c>
      <c r="M383" s="50">
        <f ca="1">M384+M385</f>
        <v>0</v>
      </c>
      <c r="N383" s="50">
        <f ca="1">N384+N385</f>
        <v>0</v>
      </c>
      <c r="O383" s="50">
        <f ca="1">IF(L383&gt;0,N383*100/L383,0)</f>
        <v>0</v>
      </c>
      <c r="P383" s="50">
        <f ca="1">IF(M383&gt;0,N383*100/M383,0)</f>
        <v>0</v>
      </c>
    </row>
    <row r="384" spans="1:16" ht="18.75" hidden="1" x14ac:dyDescent="0.25">
      <c r="A384" s="136"/>
      <c r="B384" s="41"/>
      <c r="C384" s="41"/>
      <c r="D384" s="41"/>
      <c r="E384" s="279" t="s">
        <v>18</v>
      </c>
      <c r="F384" s="41"/>
      <c r="G384" s="43"/>
      <c r="H384" s="146" t="s">
        <v>12</v>
      </c>
      <c r="I384" s="144"/>
      <c r="J384" s="144"/>
      <c r="K384" s="145"/>
      <c r="L384" s="50">
        <v>0</v>
      </c>
      <c r="M384" s="50">
        <v>0</v>
      </c>
      <c r="N384" s="50">
        <v>0</v>
      </c>
      <c r="O384" s="50">
        <f>IF(L384&gt;0,N384*100/L384,0)</f>
        <v>0</v>
      </c>
      <c r="P384" s="50">
        <f>IF(M384&gt;0,N384*100/M384,0)</f>
        <v>0</v>
      </c>
    </row>
    <row r="385" spans="1:16" ht="18.75" hidden="1" x14ac:dyDescent="0.25">
      <c r="A385" s="136"/>
      <c r="B385" s="41"/>
      <c r="C385" s="41"/>
      <c r="D385" s="41"/>
      <c r="E385" s="279" t="s">
        <v>19</v>
      </c>
      <c r="F385" s="41"/>
      <c r="G385" s="43"/>
      <c r="H385" s="199" t="s">
        <v>12</v>
      </c>
      <c r="I385" s="144"/>
      <c r="J385" s="144"/>
      <c r="K385" s="145"/>
      <c r="L385" s="50">
        <f ca="1">IFERROR(__xludf.DUMMYFUNCTION("IMPORTRANGE(""https://docs.google.com/spreadsheets/d/1-uDff_7J0KD5mKrp0Vvzr7lt3OU09vwQwhkpOPPYv2Y/edit?usp=sharing"",""งบพรบ!FP16"")"),0)</f>
        <v>0</v>
      </c>
      <c r="M385" s="50">
        <f ca="1">IFERROR(__xludf.DUMMYFUNCTION("IMPORTRANGE(""https://docs.google.com/spreadsheets/d/1-uDff_7J0KD5mKrp0Vvzr7lt3OU09vwQwhkpOPPYv2Y/edit?usp=sharing"",""งบพรบ!FS16"")"),0)</f>
        <v>0</v>
      </c>
      <c r="N385" s="50">
        <f ca="1">IFERROR(__xludf.DUMMYFUNCTION("IMPORTRANGE(""https://docs.google.com/spreadsheets/d/1-uDff_7J0KD5mKrp0Vvzr7lt3OU09vwQwhkpOPPYv2Y/edit?usp=sharing"",""งบพรบ!FU16"")"),0)</f>
        <v>0</v>
      </c>
      <c r="O385" s="50">
        <f ca="1">IF(L385&gt;0,N385*100/L385,0)</f>
        <v>0</v>
      </c>
      <c r="P385" s="50">
        <f ca="1">IF(M385&gt;0,N385*100/M385,0)</f>
        <v>0</v>
      </c>
    </row>
    <row r="386" spans="1:16" ht="19.5" hidden="1" x14ac:dyDescent="0.3">
      <c r="A386" s="148"/>
      <c r="B386" s="149"/>
      <c r="C386" s="260" t="s">
        <v>16</v>
      </c>
      <c r="D386" s="394" t="s">
        <v>36</v>
      </c>
      <c r="E386" s="151"/>
      <c r="F386" s="151"/>
      <c r="G386" s="152"/>
      <c r="H386" s="153"/>
      <c r="I386" s="144"/>
      <c r="J386" s="45"/>
      <c r="K386" s="46"/>
      <c r="L386" s="46"/>
      <c r="M386" s="46"/>
      <c r="N386" s="46"/>
      <c r="O386" s="145"/>
      <c r="P386" s="145"/>
    </row>
    <row r="387" spans="1:16" ht="18.75" hidden="1" x14ac:dyDescent="0.25">
      <c r="A387" s="227"/>
      <c r="B387" s="41"/>
      <c r="C387" s="228"/>
      <c r="D387" s="267" t="s">
        <v>150</v>
      </c>
      <c r="E387" s="149"/>
      <c r="F387" s="41"/>
      <c r="G387" s="43"/>
      <c r="H387" s="232" t="s">
        <v>9</v>
      </c>
      <c r="I387" s="200">
        <v>0</v>
      </c>
      <c r="J387" s="201">
        <v>0</v>
      </c>
      <c r="K387" s="50">
        <f>IF(I387&gt;0,J387*100/I387,0)</f>
        <v>0</v>
      </c>
      <c r="L387" s="46"/>
      <c r="M387" s="46"/>
      <c r="N387" s="46"/>
      <c r="O387" s="46"/>
      <c r="P387" s="46"/>
    </row>
    <row r="388" spans="1:16" ht="18.75" hidden="1" x14ac:dyDescent="0.25">
      <c r="A388" s="374"/>
      <c r="B388" s="1"/>
      <c r="C388" s="2"/>
      <c r="D388" s="375" t="s">
        <v>151</v>
      </c>
      <c r="E388" s="281"/>
      <c r="F388" s="1"/>
      <c r="G388" s="54"/>
      <c r="H388" s="376" t="s">
        <v>54</v>
      </c>
      <c r="I388" s="205">
        <v>0</v>
      </c>
      <c r="J388" s="206">
        <v>0</v>
      </c>
      <c r="K388" s="207">
        <f>IF(I388&gt;0,J388*100/I388,0)</f>
        <v>0</v>
      </c>
      <c r="L388" s="57"/>
      <c r="M388" s="57"/>
      <c r="N388" s="57"/>
      <c r="O388" s="57"/>
      <c r="P388" s="57"/>
    </row>
    <row r="389" spans="1:16" ht="12.75" x14ac:dyDescent="0.2">
      <c r="A389" s="168"/>
      <c r="B389" s="168"/>
      <c r="C389" s="168"/>
      <c r="D389" s="168"/>
      <c r="E389" s="168"/>
      <c r="F389" s="168"/>
      <c r="G389" s="168"/>
      <c r="H389" s="168"/>
      <c r="I389" s="168"/>
      <c r="J389" s="168"/>
      <c r="K389" s="168"/>
      <c r="L389" s="168"/>
      <c r="M389" s="168"/>
      <c r="N389" s="168"/>
      <c r="O389" s="168"/>
      <c r="P389" s="168"/>
    </row>
    <row r="390" spans="1:16" ht="16.5" x14ac:dyDescent="0.25">
      <c r="A390" s="377" t="s">
        <v>152</v>
      </c>
      <c r="B390" s="168"/>
      <c r="C390" s="168"/>
      <c r="D390" s="168"/>
      <c r="E390" s="168"/>
      <c r="F390" s="168"/>
      <c r="G390" s="168"/>
      <c r="H390" s="168"/>
      <c r="I390" s="168"/>
      <c r="J390" s="168"/>
      <c r="K390" s="168"/>
      <c r="L390" s="168"/>
      <c r="M390" s="168"/>
      <c r="N390" s="168"/>
      <c r="O390" s="168"/>
      <c r="P390" s="168"/>
    </row>
    <row r="391" spans="1:16" ht="16.5" x14ac:dyDescent="0.25">
      <c r="A391" s="377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8"/>
      <c r="C391" s="168"/>
      <c r="D391" s="168"/>
      <c r="E391" s="168"/>
      <c r="F391" s="168"/>
      <c r="G391" s="168"/>
      <c r="H391" s="168"/>
      <c r="I391" s="168"/>
      <c r="J391" s="168"/>
      <c r="K391" s="168"/>
      <c r="L391" s="168"/>
      <c r="M391" s="168"/>
      <c r="N391" s="168"/>
      <c r="O391" s="168"/>
      <c r="P391" s="16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2" orientation="portrait" cellComments="atEnd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50388-FF0B-49B1-A737-D2BEFE865BCC}">
  <sheetPr>
    <outlinePr summaryBelow="0" summaryRight="0"/>
  </sheetPr>
  <dimension ref="A1:P391"/>
  <sheetViews>
    <sheetView view="pageBreakPreview" zoomScale="60" zoomScaleNormal="68" workbookViewId="0">
      <pane xSplit="8" ySplit="6" topLeftCell="I7" activePane="bottomRight" state="frozen"/>
      <selection activeCell="P44" sqref="P44"/>
      <selection pane="topRight" activeCell="P44" sqref="P44"/>
      <selection pane="bottomLeft" activeCell="P44" sqref="P44"/>
      <selection pane="bottomRight" activeCell="P44" sqref="P4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3" width="21.5703125" bestFit="1" customWidth="1"/>
    <col min="14" max="14" width="19" bestFit="1" customWidth="1"/>
    <col min="15" max="15" width="17.5703125" customWidth="1"/>
    <col min="16" max="16" width="22.42578125" bestFit="1" customWidth="1"/>
  </cols>
  <sheetData>
    <row r="1" spans="1:16" ht="19.5" x14ac:dyDescent="0.3">
      <c r="A1" s="386" t="s">
        <v>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</row>
    <row r="2" spans="1:16" ht="19.5" x14ac:dyDescent="0.3">
      <c r="A2" s="386" t="s">
        <v>157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</row>
    <row r="3" spans="1:16" ht="19.5" x14ac:dyDescent="0.3">
      <c r="A3" s="386" t="s">
        <v>175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388" t="s">
        <v>2</v>
      </c>
      <c r="B5" s="387"/>
      <c r="C5" s="387"/>
      <c r="D5" s="387"/>
      <c r="E5" s="387"/>
      <c r="F5" s="387"/>
      <c r="G5" s="389"/>
      <c r="H5" s="4" t="s">
        <v>3</v>
      </c>
      <c r="I5" s="391" t="s">
        <v>4</v>
      </c>
      <c r="J5" s="379"/>
      <c r="K5" s="380"/>
      <c r="L5" s="392" t="s">
        <v>5</v>
      </c>
      <c r="M5" s="380"/>
      <c r="N5" s="393" t="s">
        <v>6</v>
      </c>
      <c r="O5" s="379"/>
      <c r="P5" s="380"/>
    </row>
    <row r="6" spans="1:16" ht="19.5" x14ac:dyDescent="0.3">
      <c r="A6" s="390"/>
      <c r="B6" s="379"/>
      <c r="C6" s="379"/>
      <c r="D6" s="379"/>
      <c r="E6" s="379"/>
      <c r="F6" s="379"/>
      <c r="G6" s="380"/>
      <c r="H6" s="5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466" t="s">
        <v>14</v>
      </c>
    </row>
    <row r="7" spans="1:16" ht="12.75" hidden="1" x14ac:dyDescent="0.2">
      <c r="A7" s="381"/>
      <c r="B7" s="379"/>
      <c r="C7" s="379"/>
      <c r="D7" s="379"/>
      <c r="E7" s="379"/>
      <c r="F7" s="379"/>
      <c r="G7" s="380"/>
      <c r="H7" s="12"/>
      <c r="I7" s="13"/>
      <c r="J7" s="13"/>
      <c r="K7" s="14"/>
      <c r="L7" s="14"/>
      <c r="M7" s="14"/>
      <c r="N7" s="14"/>
      <c r="O7" s="14"/>
      <c r="P7" s="14"/>
    </row>
    <row r="8" spans="1:16" ht="12.75" hidden="1" x14ac:dyDescent="0.2">
      <c r="A8" s="15"/>
      <c r="B8" s="16"/>
      <c r="C8" s="16"/>
      <c r="D8" s="16"/>
      <c r="E8" s="16"/>
      <c r="F8" s="16"/>
      <c r="G8" s="17"/>
      <c r="H8" s="17"/>
      <c r="I8" s="18"/>
      <c r="J8" s="18"/>
      <c r="K8" s="19"/>
      <c r="L8" s="19"/>
      <c r="M8" s="19"/>
      <c r="N8" s="19"/>
      <c r="O8" s="19"/>
      <c r="P8" s="19"/>
    </row>
    <row r="9" spans="1:16" ht="12.75" hidden="1" x14ac:dyDescent="0.2">
      <c r="A9" s="15"/>
      <c r="B9" s="16"/>
      <c r="C9" s="16"/>
      <c r="D9" s="16"/>
      <c r="E9" s="16"/>
      <c r="F9" s="16"/>
      <c r="G9" s="17"/>
      <c r="H9" s="17"/>
      <c r="I9" s="18"/>
      <c r="J9" s="18"/>
      <c r="K9" s="19"/>
      <c r="L9" s="19"/>
      <c r="M9" s="19"/>
      <c r="N9" s="19"/>
      <c r="O9" s="19"/>
      <c r="P9" s="19"/>
    </row>
    <row r="10" spans="1:16" ht="12.75" hidden="1" x14ac:dyDescent="0.2">
      <c r="A10" s="15"/>
      <c r="B10" s="16"/>
      <c r="C10" s="16"/>
      <c r="D10" s="16"/>
      <c r="E10" s="16"/>
      <c r="F10" s="16"/>
      <c r="G10" s="17"/>
      <c r="H10" s="17"/>
      <c r="I10" s="18"/>
      <c r="J10" s="18"/>
      <c r="K10" s="19"/>
      <c r="L10" s="19"/>
      <c r="M10" s="19"/>
      <c r="N10" s="19"/>
      <c r="O10" s="19"/>
      <c r="P10" s="19"/>
    </row>
    <row r="11" spans="1:16" ht="12.75" hidden="1" x14ac:dyDescent="0.2">
      <c r="A11" s="15"/>
      <c r="B11" s="16"/>
      <c r="C11" s="16"/>
      <c r="D11" s="16"/>
      <c r="E11" s="16"/>
      <c r="F11" s="16"/>
      <c r="G11" s="17"/>
      <c r="H11" s="17"/>
      <c r="I11" s="18"/>
      <c r="J11" s="18"/>
      <c r="K11" s="19"/>
      <c r="L11" s="19"/>
      <c r="M11" s="19"/>
      <c r="N11" s="19"/>
      <c r="O11" s="19"/>
      <c r="P11" s="19"/>
    </row>
    <row r="12" spans="1:16" ht="12.75" hidden="1" x14ac:dyDescent="0.2">
      <c r="A12" s="15"/>
      <c r="B12" s="16"/>
      <c r="C12" s="16"/>
      <c r="D12" s="16"/>
      <c r="E12" s="16"/>
      <c r="F12" s="16"/>
      <c r="G12" s="17"/>
      <c r="H12" s="17"/>
      <c r="I12" s="18"/>
      <c r="J12" s="18"/>
      <c r="K12" s="19"/>
      <c r="L12" s="19"/>
      <c r="M12" s="19"/>
      <c r="N12" s="19"/>
      <c r="O12" s="19"/>
      <c r="P12" s="19"/>
    </row>
    <row r="13" spans="1:16" ht="12.75" hidden="1" x14ac:dyDescent="0.2">
      <c r="A13" s="15"/>
      <c r="B13" s="16"/>
      <c r="C13" s="16"/>
      <c r="D13" s="16"/>
      <c r="E13" s="16"/>
      <c r="F13" s="16"/>
      <c r="G13" s="17"/>
      <c r="H13" s="17"/>
      <c r="I13" s="18"/>
      <c r="J13" s="18"/>
      <c r="K13" s="19"/>
      <c r="L13" s="19"/>
      <c r="M13" s="19"/>
      <c r="N13" s="19"/>
      <c r="O13" s="19"/>
      <c r="P13" s="19"/>
    </row>
    <row r="14" spans="1:16" ht="12.75" hidden="1" x14ac:dyDescent="0.2">
      <c r="A14" s="15"/>
      <c r="B14" s="16"/>
      <c r="C14" s="16"/>
      <c r="D14" s="16"/>
      <c r="E14" s="16"/>
      <c r="F14" s="16"/>
      <c r="G14" s="17"/>
      <c r="H14" s="17"/>
      <c r="I14" s="18"/>
      <c r="J14" s="18"/>
      <c r="K14" s="19"/>
      <c r="L14" s="19"/>
      <c r="M14" s="19"/>
      <c r="N14" s="19"/>
      <c r="O14" s="19"/>
      <c r="P14" s="19"/>
    </row>
    <row r="15" spans="1:16" ht="12.75" hidden="1" x14ac:dyDescent="0.2">
      <c r="A15" s="15"/>
      <c r="B15" s="16"/>
      <c r="C15" s="16"/>
      <c r="D15" s="16"/>
      <c r="E15" s="16"/>
      <c r="F15" s="16"/>
      <c r="G15" s="17"/>
      <c r="H15" s="17"/>
      <c r="I15" s="18"/>
      <c r="J15" s="18"/>
      <c r="K15" s="19"/>
      <c r="L15" s="19"/>
      <c r="M15" s="19"/>
      <c r="N15" s="19"/>
      <c r="O15" s="19"/>
      <c r="P15" s="19"/>
    </row>
    <row r="16" spans="1:16" ht="12.75" hidden="1" x14ac:dyDescent="0.2">
      <c r="A16" s="20"/>
      <c r="B16" s="21"/>
      <c r="C16" s="21"/>
      <c r="D16" s="21"/>
      <c r="E16" s="21"/>
      <c r="F16" s="21"/>
      <c r="G16" s="12"/>
      <c r="H16" s="12"/>
      <c r="I16" s="13"/>
      <c r="J16" s="13"/>
      <c r="K16" s="14"/>
      <c r="L16" s="14"/>
      <c r="M16" s="14"/>
      <c r="N16" s="14"/>
      <c r="O16" s="14"/>
      <c r="P16" s="14"/>
    </row>
    <row r="17" spans="1:16" ht="19.5" x14ac:dyDescent="0.3">
      <c r="A17" s="378" t="s">
        <v>15</v>
      </c>
      <c r="B17" s="379"/>
      <c r="C17" s="379"/>
      <c r="D17" s="379"/>
      <c r="E17" s="379"/>
      <c r="F17" s="379"/>
      <c r="G17" s="380"/>
      <c r="H17" s="22"/>
      <c r="I17" s="23"/>
      <c r="J17" s="23"/>
      <c r="K17" s="24"/>
      <c r="L17" s="24"/>
      <c r="M17" s="24"/>
      <c r="N17" s="24"/>
      <c r="O17" s="24"/>
      <c r="P17" s="24"/>
    </row>
    <row r="18" spans="1:16" ht="19.5" x14ac:dyDescent="0.3">
      <c r="A18" s="25"/>
      <c r="B18" s="26"/>
      <c r="C18" s="132" t="s">
        <v>16</v>
      </c>
      <c r="D18" s="28" t="s">
        <v>17</v>
      </c>
      <c r="E18" s="26"/>
      <c r="F18" s="26"/>
      <c r="G18" s="29"/>
      <c r="H18" s="30" t="s">
        <v>12</v>
      </c>
      <c r="I18" s="31"/>
      <c r="J18" s="31"/>
      <c r="K18" s="32"/>
      <c r="L18" s="33">
        <f ca="1">L19+L20</f>
        <v>1857370</v>
      </c>
      <c r="M18" s="33">
        <f ca="1">M19+M20</f>
        <v>1508730</v>
      </c>
      <c r="N18" s="33">
        <f ca="1">N19+N20</f>
        <v>464215.32999999996</v>
      </c>
      <c r="O18" s="33">
        <f ca="1">IF(L18&gt;0,N18*100/L18,0)</f>
        <v>24.993153222028994</v>
      </c>
      <c r="P18" s="33">
        <f ca="1">IF(M18&gt;0,N18*100/M18,0)</f>
        <v>30.768615325472414</v>
      </c>
    </row>
    <row r="19" spans="1:16" ht="18.75" hidden="1" x14ac:dyDescent="0.25">
      <c r="A19" s="25"/>
      <c r="B19" s="26"/>
      <c r="C19" s="26"/>
      <c r="D19" s="26"/>
      <c r="E19" s="34" t="s">
        <v>18</v>
      </c>
      <c r="F19" s="26"/>
      <c r="G19" s="29"/>
      <c r="H19" s="35" t="s">
        <v>12</v>
      </c>
      <c r="I19" s="31"/>
      <c r="J19" s="31"/>
      <c r="K19" s="32"/>
      <c r="L19" s="36">
        <f>L22+L25</f>
        <v>0</v>
      </c>
      <c r="M19" s="36">
        <f>M22+M25</f>
        <v>0</v>
      </c>
      <c r="N19" s="36">
        <f>N22+N25</f>
        <v>0</v>
      </c>
      <c r="O19" s="36">
        <f>IF(L19&gt;0,N19*100/L19,0)</f>
        <v>0</v>
      </c>
      <c r="P19" s="36">
        <f>IF(M19&gt;0,N19*100/M19,0)</f>
        <v>0</v>
      </c>
    </row>
    <row r="20" spans="1:16" ht="18.75" x14ac:dyDescent="0.25">
      <c r="A20" s="25"/>
      <c r="B20" s="26"/>
      <c r="C20" s="26"/>
      <c r="D20" s="26"/>
      <c r="E20" s="37" t="s">
        <v>19</v>
      </c>
      <c r="F20" s="26"/>
      <c r="G20" s="29"/>
      <c r="H20" s="38" t="s">
        <v>12</v>
      </c>
      <c r="I20" s="31"/>
      <c r="J20" s="31"/>
      <c r="K20" s="32"/>
      <c r="L20" s="39">
        <f ca="1">L23+L26</f>
        <v>1857370</v>
      </c>
      <c r="M20" s="39">
        <f ca="1">M23+M26</f>
        <v>1508730</v>
      </c>
      <c r="N20" s="39">
        <f ca="1">N23+N26</f>
        <v>464215.32999999996</v>
      </c>
      <c r="O20" s="39">
        <f ca="1">IF(L20&gt;0,N20*100/L20,0)</f>
        <v>24.993153222028994</v>
      </c>
      <c r="P20" s="39">
        <f ca="1">IF(M20&gt;0,N20*100/M20,0)</f>
        <v>30.768615325472414</v>
      </c>
    </row>
    <row r="21" spans="1:16" ht="18.75" x14ac:dyDescent="0.25">
      <c r="A21" s="40"/>
      <c r="B21" s="41"/>
      <c r="C21" s="41"/>
      <c r="D21" s="42" t="s">
        <v>20</v>
      </c>
      <c r="E21" s="41"/>
      <c r="F21" s="41"/>
      <c r="G21" s="43"/>
      <c r="H21" s="44" t="s">
        <v>12</v>
      </c>
      <c r="I21" s="45"/>
      <c r="J21" s="45"/>
      <c r="K21" s="46"/>
      <c r="L21" s="47">
        <f ca="1">L22+L23</f>
        <v>1857370</v>
      </c>
      <c r="M21" s="47">
        <f ca="1">M22+M23</f>
        <v>1508730</v>
      </c>
      <c r="N21" s="47">
        <f ca="1">N22+N23</f>
        <v>464215.32999999996</v>
      </c>
      <c r="O21" s="47">
        <f ca="1">IF(L21&gt;0,N21*100/L21,0)</f>
        <v>24.993153222028994</v>
      </c>
      <c r="P21" s="47">
        <f ca="1">IF(M21&gt;0,N21*100/M21,0)</f>
        <v>30.768615325472414</v>
      </c>
    </row>
    <row r="22" spans="1:16" ht="18.75" hidden="1" x14ac:dyDescent="0.25">
      <c r="A22" s="40"/>
      <c r="B22" s="41"/>
      <c r="C22" s="41"/>
      <c r="D22" s="41"/>
      <c r="E22" s="279" t="s">
        <v>18</v>
      </c>
      <c r="F22" s="41"/>
      <c r="G22" s="43"/>
      <c r="H22" s="49" t="s">
        <v>12</v>
      </c>
      <c r="I22" s="45"/>
      <c r="J22" s="45"/>
      <c r="K22" s="46"/>
      <c r="L22" s="50">
        <f>L48+L63+L76+L98+L129+L143+L161+L190+L177+L270+L286+L307+L324+L337+L360+L381</f>
        <v>0</v>
      </c>
      <c r="M22" s="50">
        <f>M48+M63+M76+M98+M129+M143+M161+M190+M177+M270+M286+M307+M324+M337+M360+M381</f>
        <v>0</v>
      </c>
      <c r="N22" s="50">
        <f>N48+N63+N76+N98+N129+N143+N161+N190+N177+N270+N286+N307+N324+N337+N360+N381</f>
        <v>0</v>
      </c>
      <c r="O22" s="50">
        <f>IF(L22&gt;0,N22*100/L22,0)</f>
        <v>0</v>
      </c>
      <c r="P22" s="50">
        <f>IF(M22&gt;0,N22*100/M22,0)</f>
        <v>0</v>
      </c>
    </row>
    <row r="23" spans="1:16" ht="18.75" x14ac:dyDescent="0.25">
      <c r="A23" s="40"/>
      <c r="B23" s="41"/>
      <c r="C23" s="41"/>
      <c r="D23" s="41"/>
      <c r="E23" s="254" t="s">
        <v>19</v>
      </c>
      <c r="F23" s="41"/>
      <c r="G23" s="43"/>
      <c r="H23" s="44" t="s">
        <v>12</v>
      </c>
      <c r="I23" s="45"/>
      <c r="J23" s="45"/>
      <c r="K23" s="46"/>
      <c r="L23" s="47">
        <f ca="1">L49+L64+L77+L99+L130+L144+L162+L191+L178+L271+L287+L308+L325+L338+L361+L382</f>
        <v>1857370</v>
      </c>
      <c r="M23" s="47">
        <f ca="1">M49+M64+M77+M99+M130+M144+M162+M191+M178+M271+M287+M308+M325+M338+M361+M382</f>
        <v>1508730</v>
      </c>
      <c r="N23" s="47">
        <f ca="1">N49+N64+N77+N99+N130+N144+N162+N191+N178+N271+N287+N308+N325+N338+N361+N382</f>
        <v>464215.32999999996</v>
      </c>
      <c r="O23" s="47">
        <f ca="1">IF(L23&gt;0,N23*100/L23,0)</f>
        <v>24.993153222028994</v>
      </c>
      <c r="P23" s="47">
        <f ca="1">IF(M23&gt;0,N23*100/M23,0)</f>
        <v>30.768615325472414</v>
      </c>
    </row>
    <row r="24" spans="1:16" ht="18.75" x14ac:dyDescent="0.25">
      <c r="A24" s="40"/>
      <c r="B24" s="41"/>
      <c r="C24" s="41"/>
      <c r="D24" s="42" t="s">
        <v>21</v>
      </c>
      <c r="E24" s="41"/>
      <c r="F24" s="41"/>
      <c r="G24" s="43"/>
      <c r="H24" s="44" t="s">
        <v>12</v>
      </c>
      <c r="I24" s="45"/>
      <c r="J24" s="45"/>
      <c r="K24" s="46"/>
      <c r="L24" s="47">
        <f ca="1">L25+L26</f>
        <v>0</v>
      </c>
      <c r="M24" s="47">
        <f ca="1">M25+M26</f>
        <v>0</v>
      </c>
      <c r="N24" s="47">
        <f ca="1">N25+N26</f>
        <v>0</v>
      </c>
      <c r="O24" s="47">
        <f ca="1">IF(L24&gt;0,N24*100/L24,0)</f>
        <v>0</v>
      </c>
      <c r="P24" s="47">
        <f ca="1">IF(M24&gt;0,N24*100/M24,0)</f>
        <v>0</v>
      </c>
    </row>
    <row r="25" spans="1:16" ht="18.75" hidden="1" x14ac:dyDescent="0.25">
      <c r="A25" s="40"/>
      <c r="B25" s="41"/>
      <c r="C25" s="41"/>
      <c r="D25" s="41"/>
      <c r="E25" s="279" t="s">
        <v>18</v>
      </c>
      <c r="F25" s="41"/>
      <c r="G25" s="43"/>
      <c r="H25" s="49" t="s">
        <v>12</v>
      </c>
      <c r="I25" s="45"/>
      <c r="J25" s="45"/>
      <c r="K25" s="46"/>
      <c r="L25" s="50">
        <f>L51+L66+L79+L101+L132+L146+L164+L193+L180+L273+L289+L310+L327+L340+L363+L384</f>
        <v>0</v>
      </c>
      <c r="M25" s="50">
        <f>M51+M66+M79+M101+M132+M146+M164+M193+M180+M273+M289+M310+M327+M340+M363+M384</f>
        <v>0</v>
      </c>
      <c r="N25" s="50">
        <f>N51+N66+N79+N101+N132+N146+N164+N193+N180+N273+N289+N310+N327+N340+N363+N384</f>
        <v>0</v>
      </c>
      <c r="O25" s="50">
        <f>IF(L25&gt;0,N25*100/L25,0)</f>
        <v>0</v>
      </c>
      <c r="P25" s="50">
        <f>IF(M25&gt;0,N25*100/M25,0)</f>
        <v>0</v>
      </c>
    </row>
    <row r="26" spans="1:16" ht="18.75" x14ac:dyDescent="0.25">
      <c r="A26" s="40"/>
      <c r="B26" s="41"/>
      <c r="C26" s="41"/>
      <c r="D26" s="41"/>
      <c r="E26" s="254" t="s">
        <v>19</v>
      </c>
      <c r="F26" s="41"/>
      <c r="G26" s="43"/>
      <c r="H26" s="44" t="s">
        <v>12</v>
      </c>
      <c r="I26" s="45"/>
      <c r="J26" s="45"/>
      <c r="K26" s="46"/>
      <c r="L26" s="47">
        <f ca="1">L52+L67+L80+L102+L133+L147+L165+L194+L181+L274+L290+L311+L328+L341+L364+L385</f>
        <v>0</v>
      </c>
      <c r="M26" s="47">
        <f ca="1">M52+M67+M80+M102+M133+M147+M165+M194+M181+M274+M290+M311+M328+M341+M364+M385</f>
        <v>0</v>
      </c>
      <c r="N26" s="47">
        <f ca="1">N52+N67+N80+N102+N133+N147+N165+N194+N181+N274+N290+N311+N328+N341+N364+N385</f>
        <v>0</v>
      </c>
      <c r="O26" s="47">
        <f ca="1">IF(L26&gt;0,N26*100/L26,0)</f>
        <v>0</v>
      </c>
      <c r="P26" s="47">
        <f ca="1">IF(M26&gt;0,N26*100/M26,0)</f>
        <v>0</v>
      </c>
    </row>
    <row r="27" spans="1:16" ht="18.75" hidden="1" x14ac:dyDescent="0.25">
      <c r="A27" s="40"/>
      <c r="B27" s="41"/>
      <c r="C27" s="41"/>
      <c r="D27" s="42" t="s">
        <v>22</v>
      </c>
      <c r="E27" s="41"/>
      <c r="F27" s="41"/>
      <c r="G27" s="43"/>
      <c r="H27" s="44" t="s">
        <v>12</v>
      </c>
      <c r="I27" s="45"/>
      <c r="J27" s="45"/>
      <c r="K27" s="46"/>
      <c r="L27" s="47"/>
      <c r="M27" s="47"/>
      <c r="N27" s="47"/>
      <c r="O27" s="47"/>
      <c r="P27" s="47"/>
    </row>
    <row r="28" spans="1:16" ht="18.75" hidden="1" x14ac:dyDescent="0.25">
      <c r="A28" s="40"/>
      <c r="B28" s="41"/>
      <c r="C28" s="41"/>
      <c r="D28" s="41"/>
      <c r="E28" s="279" t="s">
        <v>18</v>
      </c>
      <c r="F28" s="41"/>
      <c r="G28" s="43"/>
      <c r="H28" s="49" t="s">
        <v>12</v>
      </c>
      <c r="I28" s="45"/>
      <c r="J28" s="45"/>
      <c r="K28" s="46"/>
      <c r="L28" s="50"/>
      <c r="M28" s="50"/>
      <c r="N28" s="50"/>
      <c r="O28" s="50"/>
      <c r="P28" s="50"/>
    </row>
    <row r="29" spans="1:16" ht="18.75" hidden="1" x14ac:dyDescent="0.25">
      <c r="A29" s="52"/>
      <c r="B29" s="1"/>
      <c r="C29" s="1"/>
      <c r="D29" s="1"/>
      <c r="E29" s="53" t="s">
        <v>19</v>
      </c>
      <c r="F29" s="1"/>
      <c r="G29" s="54"/>
      <c r="H29" s="55" t="s">
        <v>12</v>
      </c>
      <c r="I29" s="56"/>
      <c r="J29" s="56"/>
      <c r="K29" s="57"/>
      <c r="L29" s="58"/>
      <c r="M29" s="58"/>
      <c r="N29" s="58"/>
      <c r="O29" s="58"/>
      <c r="P29" s="58"/>
    </row>
    <row r="30" spans="1:16" ht="12.75" hidden="1" x14ac:dyDescent="0.2">
      <c r="A30" s="381"/>
      <c r="B30" s="379"/>
      <c r="C30" s="379"/>
      <c r="D30" s="379"/>
      <c r="E30" s="379"/>
      <c r="F30" s="379"/>
      <c r="G30" s="380"/>
      <c r="H30" s="12"/>
      <c r="I30" s="13"/>
      <c r="J30" s="13"/>
      <c r="K30" s="14"/>
      <c r="L30" s="14"/>
      <c r="M30" s="14"/>
      <c r="N30" s="14"/>
      <c r="O30" s="14"/>
      <c r="P30" s="14"/>
    </row>
    <row r="31" spans="1:16" ht="12.75" hidden="1" x14ac:dyDescent="0.2">
      <c r="A31" s="15"/>
      <c r="B31" s="16"/>
      <c r="C31" s="16"/>
      <c r="D31" s="16"/>
      <c r="E31" s="16"/>
      <c r="F31" s="16"/>
      <c r="G31" s="17"/>
      <c r="H31" s="17"/>
      <c r="I31" s="18"/>
      <c r="J31" s="18"/>
      <c r="K31" s="19"/>
      <c r="L31" s="19"/>
      <c r="M31" s="19"/>
      <c r="N31" s="19"/>
      <c r="O31" s="19"/>
      <c r="P31" s="19"/>
    </row>
    <row r="32" spans="1:16" ht="12.75" hidden="1" x14ac:dyDescent="0.2">
      <c r="A32" s="15"/>
      <c r="B32" s="16"/>
      <c r="C32" s="16"/>
      <c r="D32" s="16"/>
      <c r="E32" s="16"/>
      <c r="F32" s="16"/>
      <c r="G32" s="17"/>
      <c r="H32" s="17"/>
      <c r="I32" s="18"/>
      <c r="J32" s="18"/>
      <c r="K32" s="19"/>
      <c r="L32" s="19"/>
      <c r="M32" s="19"/>
      <c r="N32" s="19"/>
      <c r="O32" s="19"/>
      <c r="P32" s="19"/>
    </row>
    <row r="33" spans="1:16" ht="12.75" hidden="1" x14ac:dyDescent="0.2">
      <c r="A33" s="15"/>
      <c r="B33" s="16"/>
      <c r="C33" s="16"/>
      <c r="D33" s="16"/>
      <c r="E33" s="16"/>
      <c r="F33" s="16"/>
      <c r="G33" s="17"/>
      <c r="H33" s="17"/>
      <c r="I33" s="18"/>
      <c r="J33" s="18"/>
      <c r="K33" s="19"/>
      <c r="L33" s="19"/>
      <c r="M33" s="19"/>
      <c r="N33" s="19"/>
      <c r="O33" s="19"/>
      <c r="P33" s="19"/>
    </row>
    <row r="34" spans="1:16" ht="12.75" hidden="1" x14ac:dyDescent="0.2">
      <c r="A34" s="15"/>
      <c r="B34" s="16"/>
      <c r="C34" s="16"/>
      <c r="D34" s="16"/>
      <c r="E34" s="16"/>
      <c r="F34" s="16"/>
      <c r="G34" s="17"/>
      <c r="H34" s="17"/>
      <c r="I34" s="18"/>
      <c r="J34" s="18"/>
      <c r="K34" s="19"/>
      <c r="L34" s="19"/>
      <c r="M34" s="19"/>
      <c r="N34" s="19"/>
      <c r="O34" s="19"/>
      <c r="P34" s="19"/>
    </row>
    <row r="35" spans="1:16" ht="12.75" hidden="1" x14ac:dyDescent="0.2">
      <c r="A35" s="15"/>
      <c r="B35" s="16"/>
      <c r="C35" s="16"/>
      <c r="D35" s="16"/>
      <c r="E35" s="16"/>
      <c r="F35" s="16"/>
      <c r="G35" s="17"/>
      <c r="H35" s="17"/>
      <c r="I35" s="18"/>
      <c r="J35" s="18"/>
      <c r="K35" s="19"/>
      <c r="L35" s="19"/>
      <c r="M35" s="19"/>
      <c r="N35" s="19"/>
      <c r="O35" s="19"/>
      <c r="P35" s="19"/>
    </row>
    <row r="36" spans="1:16" ht="12.75" hidden="1" x14ac:dyDescent="0.2">
      <c r="A36" s="15"/>
      <c r="B36" s="16"/>
      <c r="C36" s="16"/>
      <c r="D36" s="16"/>
      <c r="E36" s="16"/>
      <c r="F36" s="16"/>
      <c r="G36" s="17"/>
      <c r="H36" s="17"/>
      <c r="I36" s="18"/>
      <c r="J36" s="18"/>
      <c r="K36" s="19"/>
      <c r="L36" s="19"/>
      <c r="M36" s="19"/>
      <c r="N36" s="19"/>
      <c r="O36" s="19"/>
      <c r="P36" s="19"/>
    </row>
    <row r="37" spans="1:16" ht="12.75" hidden="1" x14ac:dyDescent="0.2">
      <c r="A37" s="15"/>
      <c r="B37" s="16"/>
      <c r="C37" s="16"/>
      <c r="D37" s="16"/>
      <c r="E37" s="16"/>
      <c r="F37" s="16"/>
      <c r="G37" s="17"/>
      <c r="H37" s="17"/>
      <c r="I37" s="18"/>
      <c r="J37" s="18"/>
      <c r="K37" s="19"/>
      <c r="L37" s="19"/>
      <c r="M37" s="19"/>
      <c r="N37" s="19"/>
      <c r="O37" s="19"/>
      <c r="P37" s="19"/>
    </row>
    <row r="38" spans="1:16" ht="12.75" hidden="1" x14ac:dyDescent="0.2">
      <c r="A38" s="15"/>
      <c r="B38" s="16"/>
      <c r="C38" s="16"/>
      <c r="D38" s="16"/>
      <c r="E38" s="16"/>
      <c r="F38" s="16"/>
      <c r="G38" s="17"/>
      <c r="H38" s="17"/>
      <c r="I38" s="18"/>
      <c r="J38" s="18"/>
      <c r="K38" s="19"/>
      <c r="L38" s="19"/>
      <c r="M38" s="19"/>
      <c r="N38" s="19"/>
      <c r="O38" s="19"/>
      <c r="P38" s="19"/>
    </row>
    <row r="39" spans="1:16" ht="12.75" hidden="1" x14ac:dyDescent="0.2">
      <c r="A39" s="20"/>
      <c r="B39" s="21"/>
      <c r="C39" s="21"/>
      <c r="D39" s="21"/>
      <c r="E39" s="21"/>
      <c r="F39" s="21"/>
      <c r="G39" s="12"/>
      <c r="H39" s="12"/>
      <c r="I39" s="13"/>
      <c r="J39" s="13"/>
      <c r="K39" s="14"/>
      <c r="L39" s="14"/>
      <c r="M39" s="14"/>
      <c r="N39" s="14"/>
      <c r="O39" s="14"/>
      <c r="P39" s="14"/>
    </row>
    <row r="40" spans="1:16" ht="19.5" hidden="1" x14ac:dyDescent="0.3">
      <c r="A40" s="59" t="s">
        <v>23</v>
      </c>
      <c r="B40" s="60"/>
      <c r="C40" s="60"/>
      <c r="D40" s="60"/>
      <c r="E40" s="60"/>
      <c r="F40" s="60"/>
      <c r="G40" s="61"/>
      <c r="H40" s="61"/>
      <c r="I40" s="62"/>
      <c r="J40" s="62"/>
      <c r="K40" s="63"/>
      <c r="L40" s="64">
        <f ca="1">L44+L59+L72+L94+L125+L139+L157+L173+L186+L266+L282+L303+L320+L333+L356</f>
        <v>1857370</v>
      </c>
      <c r="M40" s="64">
        <f ca="1">M44+M59+M72+M94+M125+M139+M157+M173+M186+M266+M282+M303+M320+M333+M356</f>
        <v>1508730</v>
      </c>
      <c r="N40" s="64">
        <f ca="1">N44+N59+N72+N94+N125+N139+N157+N173+N186+N266+N282+N303+N320+N333+N356</f>
        <v>464215.32999999996</v>
      </c>
      <c r="O40" s="64">
        <f ca="1">IF(L40&gt;0,N40*100/L40,0)</f>
        <v>24.993153222028994</v>
      </c>
      <c r="P40" s="64">
        <f ca="1">IF(M40&gt;0,N40*100/M40,0)</f>
        <v>30.768615325472414</v>
      </c>
    </row>
    <row r="41" spans="1:16" ht="19.5" x14ac:dyDescent="0.3">
      <c r="A41" s="65" t="s">
        <v>24</v>
      </c>
      <c r="B41" s="66"/>
      <c r="C41" s="66"/>
      <c r="D41" s="66"/>
      <c r="E41" s="66"/>
      <c r="F41" s="66"/>
      <c r="G41" s="66"/>
      <c r="H41" s="66"/>
      <c r="I41" s="67"/>
      <c r="J41" s="67"/>
      <c r="K41" s="68"/>
      <c r="L41" s="68"/>
      <c r="M41" s="68"/>
      <c r="N41" s="68"/>
      <c r="O41" s="68"/>
      <c r="P41" s="69"/>
    </row>
    <row r="42" spans="1:16" ht="19.5" x14ac:dyDescent="0.3">
      <c r="A42" s="70"/>
      <c r="B42" s="71" t="s">
        <v>25</v>
      </c>
      <c r="C42" s="70"/>
      <c r="D42" s="70"/>
      <c r="E42" s="70"/>
      <c r="F42" s="70"/>
      <c r="G42" s="72"/>
      <c r="H42" s="72"/>
      <c r="I42" s="73"/>
      <c r="J42" s="73"/>
      <c r="K42" s="74"/>
      <c r="L42" s="74"/>
      <c r="M42" s="74"/>
      <c r="N42" s="74"/>
      <c r="O42" s="74"/>
      <c r="P42" s="74"/>
    </row>
    <row r="43" spans="1:16" ht="12.75" hidden="1" x14ac:dyDescent="0.2">
      <c r="A43" s="15"/>
      <c r="B43" s="16"/>
      <c r="C43" s="16"/>
      <c r="D43" s="16"/>
      <c r="E43" s="16"/>
      <c r="F43" s="16"/>
      <c r="G43" s="17"/>
      <c r="H43" s="17"/>
      <c r="I43" s="18"/>
      <c r="J43" s="18"/>
      <c r="K43" s="19"/>
      <c r="L43" s="19"/>
      <c r="M43" s="19"/>
      <c r="N43" s="19"/>
      <c r="O43" s="19"/>
      <c r="P43" s="19"/>
    </row>
    <row r="44" spans="1:16" ht="19.5" x14ac:dyDescent="0.3">
      <c r="A44" s="75"/>
      <c r="B44" s="76"/>
      <c r="C44" s="77" t="s">
        <v>16</v>
      </c>
      <c r="D44" s="404" t="s">
        <v>17</v>
      </c>
      <c r="E44" s="76"/>
      <c r="F44" s="76"/>
      <c r="G44" s="79"/>
      <c r="H44" s="80" t="s">
        <v>12</v>
      </c>
      <c r="I44" s="81"/>
      <c r="J44" s="81"/>
      <c r="K44" s="82"/>
      <c r="L44" s="83">
        <f ca="1">L45+L46</f>
        <v>275600</v>
      </c>
      <c r="M44" s="83">
        <f ca="1">M45+M46</f>
        <v>275600</v>
      </c>
      <c r="N44" s="83">
        <f ca="1">N45+N46</f>
        <v>110800</v>
      </c>
      <c r="O44" s="83">
        <f ca="1">IF(L44&gt;0,N44*100/L44,0)</f>
        <v>40.203193033381716</v>
      </c>
      <c r="P44" s="83">
        <f ca="1">IF(M44&gt;0,N44*100/M44,0)</f>
        <v>40.203193033381716</v>
      </c>
    </row>
    <row r="45" spans="1:16" ht="18.75" hidden="1" x14ac:dyDescent="0.25">
      <c r="A45" s="75"/>
      <c r="B45" s="76"/>
      <c r="C45" s="76"/>
      <c r="D45" s="76"/>
      <c r="E45" s="84" t="s">
        <v>18</v>
      </c>
      <c r="F45" s="76"/>
      <c r="G45" s="79"/>
      <c r="H45" s="85" t="s">
        <v>12</v>
      </c>
      <c r="I45" s="81"/>
      <c r="J45" s="81"/>
      <c r="K45" s="82"/>
      <c r="L45" s="86">
        <f>L48+L51</f>
        <v>0</v>
      </c>
      <c r="M45" s="86">
        <f>M48+M51</f>
        <v>0</v>
      </c>
      <c r="N45" s="86">
        <f>N48+N51</f>
        <v>0</v>
      </c>
      <c r="O45" s="86">
        <f>IF(L45&gt;0,N45*100/L45,0)</f>
        <v>0</v>
      </c>
      <c r="P45" s="86">
        <f>IF(M45&gt;0,N45*100/M45,0)</f>
        <v>0</v>
      </c>
    </row>
    <row r="46" spans="1:16" ht="18.75" x14ac:dyDescent="0.25">
      <c r="A46" s="75"/>
      <c r="B46" s="76"/>
      <c r="C46" s="76"/>
      <c r="D46" s="76"/>
      <c r="E46" s="87" t="s">
        <v>19</v>
      </c>
      <c r="F46" s="76"/>
      <c r="G46" s="79"/>
      <c r="H46" s="88" t="s">
        <v>12</v>
      </c>
      <c r="I46" s="81"/>
      <c r="J46" s="81"/>
      <c r="K46" s="82"/>
      <c r="L46" s="89">
        <f ca="1">L49+L52</f>
        <v>275600</v>
      </c>
      <c r="M46" s="89">
        <f ca="1">M49+M52</f>
        <v>275600</v>
      </c>
      <c r="N46" s="89">
        <f ca="1">N49+N52</f>
        <v>110800</v>
      </c>
      <c r="O46" s="89">
        <f ca="1">IF(L46&gt;0,N46*100/L46,0)</f>
        <v>40.203193033381716</v>
      </c>
      <c r="P46" s="89">
        <f ca="1">IF(M46&gt;0,N46*100/M46,0)</f>
        <v>40.203193033381716</v>
      </c>
    </row>
    <row r="47" spans="1:16" ht="18.75" x14ac:dyDescent="0.25">
      <c r="A47" s="40"/>
      <c r="B47" s="41"/>
      <c r="C47" s="41"/>
      <c r="D47" s="42" t="s">
        <v>20</v>
      </c>
      <c r="E47" s="41"/>
      <c r="F47" s="41"/>
      <c r="G47" s="43"/>
      <c r="H47" s="44" t="s">
        <v>12</v>
      </c>
      <c r="I47" s="45"/>
      <c r="J47" s="45"/>
      <c r="K47" s="46"/>
      <c r="L47" s="47">
        <f ca="1">L48+L49</f>
        <v>275600</v>
      </c>
      <c r="M47" s="47">
        <f ca="1">M48+M49</f>
        <v>275600</v>
      </c>
      <c r="N47" s="47">
        <f ca="1">N48+N49</f>
        <v>110800</v>
      </c>
      <c r="O47" s="47">
        <f ca="1">IF(L47&gt;0,N47*100/L47,0)</f>
        <v>40.203193033381716</v>
      </c>
      <c r="P47" s="47">
        <f ca="1">IF(M47&gt;0,N47*100/M47,0)</f>
        <v>40.203193033381716</v>
      </c>
    </row>
    <row r="48" spans="1:16" ht="18.75" hidden="1" x14ac:dyDescent="0.25">
      <c r="A48" s="40"/>
      <c r="B48" s="41"/>
      <c r="C48" s="41"/>
      <c r="D48" s="41"/>
      <c r="E48" s="279" t="s">
        <v>18</v>
      </c>
      <c r="F48" s="41"/>
      <c r="G48" s="43"/>
      <c r="H48" s="49" t="s">
        <v>12</v>
      </c>
      <c r="I48" s="45"/>
      <c r="J48" s="45"/>
      <c r="K48" s="46"/>
      <c r="L48" s="50">
        <v>0</v>
      </c>
      <c r="M48" s="50">
        <v>0</v>
      </c>
      <c r="N48" s="50">
        <v>0</v>
      </c>
      <c r="O48" s="50">
        <f>IF(L48&gt;0,N48*100/L48,0)</f>
        <v>0</v>
      </c>
      <c r="P48" s="50">
        <f>IF(M48&gt;0,N48*100/M48,0)</f>
        <v>0</v>
      </c>
    </row>
    <row r="49" spans="1:16" ht="18.75" x14ac:dyDescent="0.25">
      <c r="A49" s="40"/>
      <c r="B49" s="41"/>
      <c r="C49" s="41"/>
      <c r="D49" s="41"/>
      <c r="E49" s="254" t="s">
        <v>19</v>
      </c>
      <c r="F49" s="41"/>
      <c r="G49" s="43"/>
      <c r="H49" s="44" t="s">
        <v>12</v>
      </c>
      <c r="I49" s="45"/>
      <c r="J49" s="45"/>
      <c r="K49" s="46"/>
      <c r="L49" s="47">
        <f ca="1">IFERROR(__xludf.DUMMYFUNCTION("IMPORTRANGE(""https://docs.google.com/spreadsheets/d/1-uDff_7J0KD5mKrp0Vvzr7lt3OU09vwQwhkpOPPYv2Y/edit?usp=sharing"",""งบพรบ!P17"")"),275600)</f>
        <v>275600</v>
      </c>
      <c r="M49" s="47">
        <f ca="1">IFERROR(__xludf.DUMMYFUNCTION("IMPORTRANGE(""https://docs.google.com/spreadsheets/d/1-uDff_7J0KD5mKrp0Vvzr7lt3OU09vwQwhkpOPPYv2Y/edit?usp=sharing"",""งบพรบ!V17"")"),275600)</f>
        <v>275600</v>
      </c>
      <c r="N49" s="47">
        <f ca="1">IFERROR(__xludf.DUMMYFUNCTION("IMPORTRANGE(""https://docs.google.com/spreadsheets/d/1-uDff_7J0KD5mKrp0Vvzr7lt3OU09vwQwhkpOPPYv2Y/edit?usp=sharing"",""งบพรบ!Y17"")"),110800)</f>
        <v>110800</v>
      </c>
      <c r="O49" s="47">
        <f ca="1">IF(L49&gt;0,N49*100/L49,0)</f>
        <v>40.203193033381716</v>
      </c>
      <c r="P49" s="47">
        <f ca="1">IF(M49&gt;0,N49*100/M49,0)</f>
        <v>40.203193033381716</v>
      </c>
    </row>
    <row r="50" spans="1:16" ht="18.75" x14ac:dyDescent="0.25">
      <c r="A50" s="40"/>
      <c r="B50" s="41"/>
      <c r="C50" s="41"/>
      <c r="D50" s="42" t="s">
        <v>21</v>
      </c>
      <c r="E50" s="41"/>
      <c r="F50" s="41"/>
      <c r="G50" s="43"/>
      <c r="H50" s="44" t="s">
        <v>12</v>
      </c>
      <c r="I50" s="45"/>
      <c r="J50" s="45"/>
      <c r="K50" s="46"/>
      <c r="L50" s="47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</row>
    <row r="51" spans="1:16" ht="18.75" hidden="1" x14ac:dyDescent="0.25">
      <c r="A51" s="40"/>
      <c r="B51" s="41"/>
      <c r="C51" s="41"/>
      <c r="D51" s="41"/>
      <c r="E51" s="279" t="s">
        <v>18</v>
      </c>
      <c r="F51" s="41"/>
      <c r="G51" s="43"/>
      <c r="H51" s="49" t="s">
        <v>12</v>
      </c>
      <c r="I51" s="45"/>
      <c r="J51" s="45"/>
      <c r="K51" s="46"/>
      <c r="L51" s="50">
        <v>0</v>
      </c>
      <c r="M51" s="50">
        <v>0</v>
      </c>
      <c r="N51" s="50">
        <v>0</v>
      </c>
      <c r="O51" s="50">
        <f>IF(L51&gt;0,N51*100/L51,0)</f>
        <v>0</v>
      </c>
      <c r="P51" s="50">
        <f>IF(M51&gt;0,N51*100/M51,0)</f>
        <v>0</v>
      </c>
    </row>
    <row r="52" spans="1:16" ht="18.75" x14ac:dyDescent="0.25">
      <c r="A52" s="40"/>
      <c r="B52" s="41"/>
      <c r="C52" s="41"/>
      <c r="D52" s="41"/>
      <c r="E52" s="254" t="s">
        <v>19</v>
      </c>
      <c r="F52" s="41"/>
      <c r="G52" s="43"/>
      <c r="H52" s="44" t="s">
        <v>12</v>
      </c>
      <c r="I52" s="45"/>
      <c r="J52" s="45"/>
      <c r="K52" s="46"/>
      <c r="L52" s="47">
        <f ca="1">IFERROR(__xludf.DUMMYFUNCTION("IMPORTRANGE(""https://docs.google.com/spreadsheets/d/1-uDff_7J0KD5mKrp0Vvzr7lt3OU09vwQwhkpOPPYv2Y/edit?usp=sharing"",""งบพรบ!S17"")"),0)</f>
        <v>0</v>
      </c>
      <c r="M52" s="47">
        <f ca="1">IFERROR(__xludf.DUMMYFUNCTION("IMPORTRANGE(""https://docs.google.com/spreadsheets/d/1-uDff_7J0KD5mKrp0Vvzr7lt3OU09vwQwhkpOPPYv2Y/edit?usp=sharing"",""งบพรบ!W17"")"),0)</f>
        <v>0</v>
      </c>
      <c r="N52" s="47">
        <f ca="1">IFERROR(__xludf.DUMMYFUNCTION("IMPORTRANGE(""https://docs.google.com/spreadsheets/d/1-uDff_7J0KD5mKrp0Vvzr7lt3OU09vwQwhkpOPPYv2Y/edit?usp=sharing"",""งบพรบ!Z17"")"),0)</f>
        <v>0</v>
      </c>
      <c r="O52" s="47">
        <f ca="1">IF(L52&gt;0,N52*100/L52,0)</f>
        <v>0</v>
      </c>
      <c r="P52" s="47">
        <f ca="1">IF(M52&gt;0,N52*100/M52,0)</f>
        <v>0</v>
      </c>
    </row>
    <row r="53" spans="1:16" ht="18.75" hidden="1" x14ac:dyDescent="0.25">
      <c r="A53" s="40"/>
      <c r="B53" s="41"/>
      <c r="C53" s="41"/>
      <c r="D53" s="42" t="s">
        <v>22</v>
      </c>
      <c r="E53" s="41"/>
      <c r="F53" s="41"/>
      <c r="G53" s="43"/>
      <c r="H53" s="44" t="s">
        <v>12</v>
      </c>
      <c r="I53" s="45"/>
      <c r="J53" s="45"/>
      <c r="K53" s="46"/>
      <c r="L53" s="47"/>
      <c r="M53" s="47"/>
      <c r="N53" s="47"/>
      <c r="O53" s="47"/>
      <c r="P53" s="47"/>
    </row>
    <row r="54" spans="1:16" ht="18.75" hidden="1" x14ac:dyDescent="0.25">
      <c r="A54" s="40"/>
      <c r="B54" s="41"/>
      <c r="C54" s="41"/>
      <c r="D54" s="41"/>
      <c r="E54" s="279" t="s">
        <v>18</v>
      </c>
      <c r="F54" s="41"/>
      <c r="G54" s="43"/>
      <c r="H54" s="49" t="s">
        <v>12</v>
      </c>
      <c r="I54" s="45"/>
      <c r="J54" s="45"/>
      <c r="K54" s="46"/>
      <c r="L54" s="50"/>
      <c r="M54" s="50"/>
      <c r="N54" s="50"/>
      <c r="O54" s="50"/>
      <c r="P54" s="50"/>
    </row>
    <row r="55" spans="1:16" ht="18.75" hidden="1" x14ac:dyDescent="0.25">
      <c r="A55" s="52"/>
      <c r="B55" s="1"/>
      <c r="C55" s="1"/>
      <c r="D55" s="1"/>
      <c r="E55" s="53" t="s">
        <v>19</v>
      </c>
      <c r="F55" s="1"/>
      <c r="G55" s="54"/>
      <c r="H55" s="55" t="s">
        <v>12</v>
      </c>
      <c r="I55" s="56"/>
      <c r="J55" s="56"/>
      <c r="K55" s="57"/>
      <c r="L55" s="58"/>
      <c r="M55" s="58"/>
      <c r="N55" s="58"/>
      <c r="O55" s="58"/>
      <c r="P55" s="58"/>
    </row>
    <row r="56" spans="1:16" ht="19.5" x14ac:dyDescent="0.3">
      <c r="A56" s="382" t="s">
        <v>26</v>
      </c>
      <c r="B56" s="379"/>
      <c r="C56" s="379"/>
      <c r="D56" s="379"/>
      <c r="E56" s="379"/>
      <c r="F56" s="379"/>
      <c r="G56" s="380"/>
      <c r="H56" s="90"/>
      <c r="I56" s="91"/>
      <c r="J56" s="91"/>
      <c r="K56" s="92"/>
      <c r="L56" s="92"/>
      <c r="M56" s="92"/>
      <c r="N56" s="92"/>
      <c r="O56" s="92"/>
      <c r="P56" s="93"/>
    </row>
    <row r="57" spans="1:16" ht="19.5" x14ac:dyDescent="0.3">
      <c r="A57" s="94"/>
      <c r="B57" s="383" t="s">
        <v>27</v>
      </c>
      <c r="C57" s="384"/>
      <c r="D57" s="384"/>
      <c r="E57" s="384"/>
      <c r="F57" s="384"/>
      <c r="G57" s="385"/>
      <c r="H57" s="95"/>
      <c r="I57" s="96"/>
      <c r="J57" s="96"/>
      <c r="K57" s="97"/>
      <c r="L57" s="97"/>
      <c r="M57" s="97"/>
      <c r="N57" s="97"/>
      <c r="O57" s="97"/>
      <c r="P57" s="97"/>
    </row>
    <row r="58" spans="1:16" ht="19.5" x14ac:dyDescent="0.3">
      <c r="A58" s="98"/>
      <c r="B58" s="99" t="s">
        <v>28</v>
      </c>
      <c r="C58" s="100"/>
      <c r="D58" s="100"/>
      <c r="E58" s="100"/>
      <c r="F58" s="100"/>
      <c r="G58" s="101"/>
      <c r="H58" s="101"/>
      <c r="I58" s="102"/>
      <c r="J58" s="102"/>
      <c r="K58" s="103"/>
      <c r="L58" s="103"/>
      <c r="M58" s="103"/>
      <c r="N58" s="103"/>
      <c r="O58" s="103"/>
      <c r="P58" s="103"/>
    </row>
    <row r="59" spans="1:16" ht="19.5" x14ac:dyDescent="0.3">
      <c r="A59" s="104"/>
      <c r="B59" s="105"/>
      <c r="C59" s="106" t="s">
        <v>16</v>
      </c>
      <c r="D59" s="403" t="s">
        <v>17</v>
      </c>
      <c r="E59" s="105"/>
      <c r="F59" s="105"/>
      <c r="G59" s="108"/>
      <c r="H59" s="109" t="s">
        <v>12</v>
      </c>
      <c r="I59" s="110"/>
      <c r="J59" s="110"/>
      <c r="K59" s="111"/>
      <c r="L59" s="112">
        <f ca="1">L60+L61</f>
        <v>472900</v>
      </c>
      <c r="M59" s="112">
        <f ca="1">M60+M61</f>
        <v>356750</v>
      </c>
      <c r="N59" s="112">
        <f ca="1">N60+N61</f>
        <v>183952.33</v>
      </c>
      <c r="O59" s="112">
        <f ca="1">IF(L59&gt;0,N59*100/L59,0)</f>
        <v>38.89877986889406</v>
      </c>
      <c r="P59" s="112">
        <f ca="1">IF(M59&gt;0,N59*100/M59,0)</f>
        <v>51.563372109320255</v>
      </c>
    </row>
    <row r="60" spans="1:16" ht="18.75" hidden="1" x14ac:dyDescent="0.25">
      <c r="A60" s="104"/>
      <c r="B60" s="105"/>
      <c r="C60" s="105"/>
      <c r="D60" s="105"/>
      <c r="E60" s="113" t="s">
        <v>18</v>
      </c>
      <c r="F60" s="105"/>
      <c r="G60" s="108"/>
      <c r="H60" s="114" t="s">
        <v>12</v>
      </c>
      <c r="I60" s="110"/>
      <c r="J60" s="110"/>
      <c r="K60" s="111"/>
      <c r="L60" s="115">
        <f>L63+L66</f>
        <v>0</v>
      </c>
      <c r="M60" s="115">
        <f>M63+M66</f>
        <v>0</v>
      </c>
      <c r="N60" s="115">
        <f>N63+N66</f>
        <v>0</v>
      </c>
      <c r="O60" s="115">
        <f>IF(L60&gt;0,N60*100/L60,0)</f>
        <v>0</v>
      </c>
      <c r="P60" s="115">
        <f>IF(M60&gt;0,N60*100/M60,0)</f>
        <v>0</v>
      </c>
    </row>
    <row r="61" spans="1:16" ht="18.75" x14ac:dyDescent="0.25">
      <c r="A61" s="104"/>
      <c r="B61" s="105"/>
      <c r="C61" s="105"/>
      <c r="D61" s="105"/>
      <c r="E61" s="116" t="s">
        <v>19</v>
      </c>
      <c r="F61" s="105"/>
      <c r="G61" s="108"/>
      <c r="H61" s="117" t="s">
        <v>12</v>
      </c>
      <c r="I61" s="110"/>
      <c r="J61" s="110"/>
      <c r="K61" s="111"/>
      <c r="L61" s="118">
        <f ca="1">L64+L67</f>
        <v>472900</v>
      </c>
      <c r="M61" s="118">
        <f ca="1">M64+M67</f>
        <v>356750</v>
      </c>
      <c r="N61" s="118">
        <f ca="1">N64+N67</f>
        <v>183952.33</v>
      </c>
      <c r="O61" s="118">
        <f ca="1">IF(L61&gt;0,N61*100/L61,0)</f>
        <v>38.89877986889406</v>
      </c>
      <c r="P61" s="118">
        <f ca="1">IF(M61&gt;0,N61*100/M61,0)</f>
        <v>51.563372109320255</v>
      </c>
    </row>
    <row r="62" spans="1:16" ht="18.75" x14ac:dyDescent="0.25">
      <c r="A62" s="40"/>
      <c r="B62" s="41"/>
      <c r="C62" s="41"/>
      <c r="D62" s="42" t="s">
        <v>20</v>
      </c>
      <c r="E62" s="41"/>
      <c r="F62" s="41"/>
      <c r="G62" s="43"/>
      <c r="H62" s="44" t="s">
        <v>12</v>
      </c>
      <c r="I62" s="45"/>
      <c r="J62" s="45"/>
      <c r="K62" s="46"/>
      <c r="L62" s="47">
        <f ca="1">L63+L64</f>
        <v>472900</v>
      </c>
      <c r="M62" s="47">
        <f ca="1">M63+M64</f>
        <v>356750</v>
      </c>
      <c r="N62" s="47">
        <f ca="1">N63+N64</f>
        <v>183952.33</v>
      </c>
      <c r="O62" s="47">
        <f ca="1">IF(L62&gt;0,N62*100/L62,0)</f>
        <v>38.89877986889406</v>
      </c>
      <c r="P62" s="47">
        <f ca="1">IF(M62&gt;0,N62*100/M62,0)</f>
        <v>51.563372109320255</v>
      </c>
    </row>
    <row r="63" spans="1:16" ht="18.75" hidden="1" x14ac:dyDescent="0.25">
      <c r="A63" s="40"/>
      <c r="B63" s="41"/>
      <c r="C63" s="41"/>
      <c r="D63" s="41"/>
      <c r="E63" s="279" t="s">
        <v>18</v>
      </c>
      <c r="F63" s="41"/>
      <c r="G63" s="43"/>
      <c r="H63" s="49" t="s">
        <v>12</v>
      </c>
      <c r="I63" s="45"/>
      <c r="J63" s="45"/>
      <c r="K63" s="46"/>
      <c r="L63" s="50">
        <v>0</v>
      </c>
      <c r="M63" s="50">
        <v>0</v>
      </c>
      <c r="N63" s="50">
        <v>0</v>
      </c>
      <c r="O63" s="50">
        <f>IF(L63&gt;0,N63*100/L63,0)</f>
        <v>0</v>
      </c>
      <c r="P63" s="50">
        <f>IF(M63&gt;0,N63*100/M63,0)</f>
        <v>0</v>
      </c>
    </row>
    <row r="64" spans="1:16" ht="18.75" x14ac:dyDescent="0.25">
      <c r="A64" s="40"/>
      <c r="B64" s="41"/>
      <c r="C64" s="41"/>
      <c r="D64" s="41"/>
      <c r="E64" s="254" t="s">
        <v>19</v>
      </c>
      <c r="F64" s="41"/>
      <c r="G64" s="43"/>
      <c r="H64" s="44" t="s">
        <v>12</v>
      </c>
      <c r="I64" s="45"/>
      <c r="J64" s="45"/>
      <c r="K64" s="46"/>
      <c r="L64" s="47">
        <f ca="1">IFERROR(__xludf.DUMMYFUNCTION("IMPORTRANGE(""https://docs.google.com/spreadsheets/d/1-uDff_7J0KD5mKrp0Vvzr7lt3OU09vwQwhkpOPPYv2Y/edit?usp=sharing"",""งบพรบ!AC17"")"),472900)</f>
        <v>472900</v>
      </c>
      <c r="M64" s="47">
        <f ca="1">IFERROR(__xludf.DUMMYFUNCTION("IMPORTRANGE(""https://docs.google.com/spreadsheets/d/1-uDff_7J0KD5mKrp0Vvzr7lt3OU09vwQwhkpOPPYv2Y/edit?usp=sharing"",""งบพรบ!AH17"")"),356750)</f>
        <v>356750</v>
      </c>
      <c r="N64" s="47">
        <f ca="1">IFERROR(__xludf.DUMMYFUNCTION("IMPORTRANGE(""https://docs.google.com/spreadsheets/d/1-uDff_7J0KD5mKrp0Vvzr7lt3OU09vwQwhkpOPPYv2Y/edit?usp=sharing"",""งบพรบ!AJ17"")"),183952.33)</f>
        <v>183952.33</v>
      </c>
      <c r="O64" s="47">
        <f ca="1">IF(L64&gt;0,N64*100/L64,0)</f>
        <v>38.89877986889406</v>
      </c>
      <c r="P64" s="47">
        <f ca="1">IF(M64&gt;0,N64*100/M64,0)</f>
        <v>51.563372109320255</v>
      </c>
    </row>
    <row r="65" spans="1:16" ht="18.75" x14ac:dyDescent="0.25">
      <c r="A65" s="40"/>
      <c r="B65" s="41"/>
      <c r="C65" s="41"/>
      <c r="D65" s="42" t="s">
        <v>21</v>
      </c>
      <c r="E65" s="41"/>
      <c r="F65" s="41"/>
      <c r="G65" s="43"/>
      <c r="H65" s="44" t="s">
        <v>12</v>
      </c>
      <c r="I65" s="45"/>
      <c r="J65" s="45"/>
      <c r="K65" s="46"/>
      <c r="L65" s="47">
        <f ca="1">L66+L67</f>
        <v>0</v>
      </c>
      <c r="M65" s="47">
        <f ca="1">M66+M67</f>
        <v>0</v>
      </c>
      <c r="N65" s="47">
        <f ca="1">N66+N67</f>
        <v>0</v>
      </c>
      <c r="O65" s="47">
        <f ca="1">IF(L65&gt;0,N65*100/L65,0)</f>
        <v>0</v>
      </c>
      <c r="P65" s="47">
        <f ca="1">IF(M65&gt;0,N65*100/M65,0)</f>
        <v>0</v>
      </c>
    </row>
    <row r="66" spans="1:16" ht="18.75" hidden="1" x14ac:dyDescent="0.25">
      <c r="A66" s="40"/>
      <c r="B66" s="41"/>
      <c r="C66" s="41"/>
      <c r="D66" s="41"/>
      <c r="E66" s="279" t="s">
        <v>18</v>
      </c>
      <c r="F66" s="41"/>
      <c r="G66" s="43"/>
      <c r="H66" s="49" t="s">
        <v>12</v>
      </c>
      <c r="I66" s="45"/>
      <c r="J66" s="45"/>
      <c r="K66" s="46"/>
      <c r="L66" s="50">
        <v>0</v>
      </c>
      <c r="M66" s="50">
        <v>0</v>
      </c>
      <c r="N66" s="50">
        <v>0</v>
      </c>
      <c r="O66" s="50">
        <f>IF(L66&gt;0,N66*100/L66,0)</f>
        <v>0</v>
      </c>
      <c r="P66" s="50">
        <f>IF(M66&gt;0,N66*100/M66,0)</f>
        <v>0</v>
      </c>
    </row>
    <row r="67" spans="1:16" ht="18.75" x14ac:dyDescent="0.25">
      <c r="A67" s="52"/>
      <c r="B67" s="1"/>
      <c r="C67" s="1"/>
      <c r="D67" s="1"/>
      <c r="E67" s="53" t="s">
        <v>19</v>
      </c>
      <c r="F67" s="1"/>
      <c r="G67" s="54"/>
      <c r="H67" s="55" t="s">
        <v>12</v>
      </c>
      <c r="I67" s="56"/>
      <c r="J67" s="56"/>
      <c r="K67" s="57"/>
      <c r="L67" s="58">
        <f ca="1">IFERROR(__xludf.DUMMYFUNCTION("IMPORTRANGE(""https://docs.google.com/spreadsheets/d/1-uDff_7J0KD5mKrp0Vvzr7lt3OU09vwQwhkpOPPYv2Y/edit?usp=sharing"",""งบพรบ!AF17"")"),0)</f>
        <v>0</v>
      </c>
      <c r="M67" s="58">
        <f ca="1">IFERROR(__xludf.DUMMYFUNCTION("IMPORTRANGE(""https://docs.google.com/spreadsheets/d/1-uDff_7J0KD5mKrp0Vvzr7lt3OU09vwQwhkpOPPYv2Y/edit?usp=sharing"",""งบพรบ!AI17"")"),0)</f>
        <v>0</v>
      </c>
      <c r="N67" s="58">
        <f ca="1">IFERROR(__xludf.DUMMYFUNCTION("IMPORTRANGE(""https://docs.google.com/spreadsheets/d/1-uDff_7J0KD5mKrp0Vvzr7lt3OU09vwQwhkpOPPYv2Y/edit?usp=sharing"",""งบพรบ!AK17"")"),0)</f>
        <v>0</v>
      </c>
      <c r="O67" s="58">
        <f ca="1">IF(L67&gt;0,N67*100/L67,0)</f>
        <v>0</v>
      </c>
      <c r="P67" s="58">
        <f ca="1">IF(M67&gt;0,N67*100/M67,0)</f>
        <v>0</v>
      </c>
    </row>
    <row r="68" spans="1:16" ht="19.5" hidden="1" x14ac:dyDescent="0.3">
      <c r="A68" s="119" t="s">
        <v>29</v>
      </c>
      <c r="B68" s="120"/>
      <c r="C68" s="120"/>
      <c r="D68" s="120"/>
      <c r="E68" s="121"/>
      <c r="F68" s="121"/>
      <c r="G68" s="121"/>
      <c r="H68" s="121"/>
      <c r="I68" s="122"/>
      <c r="J68" s="122"/>
      <c r="K68" s="123"/>
      <c r="L68" s="123"/>
      <c r="M68" s="123"/>
      <c r="N68" s="123"/>
      <c r="O68" s="123"/>
      <c r="P68" s="124"/>
    </row>
    <row r="69" spans="1:16" ht="19.5" hidden="1" x14ac:dyDescent="0.3">
      <c r="A69" s="125" t="s">
        <v>30</v>
      </c>
      <c r="B69" s="126"/>
      <c r="C69" s="127"/>
      <c r="D69" s="126"/>
      <c r="E69" s="126"/>
      <c r="F69" s="126"/>
      <c r="G69" s="128"/>
      <c r="H69" s="128"/>
      <c r="I69" s="129"/>
      <c r="J69" s="129"/>
      <c r="K69" s="130"/>
      <c r="L69" s="130"/>
      <c r="M69" s="130"/>
      <c r="N69" s="130"/>
      <c r="O69" s="130"/>
      <c r="P69" s="130"/>
    </row>
    <row r="70" spans="1:16" ht="19.5" hidden="1" x14ac:dyDescent="0.3">
      <c r="A70" s="131"/>
      <c r="B70" s="132" t="s">
        <v>31</v>
      </c>
      <c r="C70" s="26"/>
      <c r="D70" s="133"/>
      <c r="E70" s="26"/>
      <c r="F70" s="26"/>
      <c r="G70" s="29"/>
      <c r="H70" s="134" t="s">
        <v>32</v>
      </c>
      <c r="I70" s="135">
        <f ca="1">I82</f>
        <v>0</v>
      </c>
      <c r="J70" s="135">
        <f>J82</f>
        <v>0</v>
      </c>
      <c r="K70" s="33">
        <f ca="1">IF(I70&gt;0,J70*100/I70,0)</f>
        <v>0</v>
      </c>
      <c r="L70" s="32"/>
      <c r="M70" s="32"/>
      <c r="N70" s="32"/>
      <c r="O70" s="32"/>
      <c r="P70" s="32"/>
    </row>
    <row r="71" spans="1:16" ht="19.5" hidden="1" x14ac:dyDescent="0.3">
      <c r="A71" s="131"/>
      <c r="B71" s="26"/>
      <c r="C71" s="26"/>
      <c r="D71" s="133"/>
      <c r="E71" s="26"/>
      <c r="F71" s="26"/>
      <c r="G71" s="29"/>
      <c r="H71" s="134" t="s">
        <v>33</v>
      </c>
      <c r="I71" s="135">
        <f ca="1">I83</f>
        <v>0</v>
      </c>
      <c r="J71" s="135">
        <f>J83</f>
        <v>0</v>
      </c>
      <c r="K71" s="33">
        <f ca="1">IF(I71&gt;0,J71*100/I71,0)</f>
        <v>0</v>
      </c>
      <c r="L71" s="32"/>
      <c r="M71" s="32"/>
      <c r="N71" s="32"/>
      <c r="O71" s="32"/>
      <c r="P71" s="32"/>
    </row>
    <row r="72" spans="1:16" ht="19.5" hidden="1" x14ac:dyDescent="0.3">
      <c r="A72" s="136"/>
      <c r="B72" s="41"/>
      <c r="C72" s="197" t="s">
        <v>16</v>
      </c>
      <c r="D72" s="397" t="s">
        <v>17</v>
      </c>
      <c r="E72" s="41"/>
      <c r="F72" s="41"/>
      <c r="G72" s="43"/>
      <c r="H72" s="139" t="s">
        <v>12</v>
      </c>
      <c r="I72" s="45"/>
      <c r="J72" s="45"/>
      <c r="K72" s="46"/>
      <c r="L72" s="140">
        <f ca="1">L73+L74</f>
        <v>0</v>
      </c>
      <c r="M72" s="140">
        <f ca="1">M73+M74</f>
        <v>0</v>
      </c>
      <c r="N72" s="140">
        <f ca="1">N73+N74</f>
        <v>0</v>
      </c>
      <c r="O72" s="140">
        <f ca="1">IF(L72&gt;0,N72*100/L72,0)</f>
        <v>0</v>
      </c>
      <c r="P72" s="140">
        <f ca="1">IF(M72&gt;0,N72*100/M72,0)</f>
        <v>0</v>
      </c>
    </row>
    <row r="73" spans="1:16" ht="18.75" hidden="1" x14ac:dyDescent="0.25">
      <c r="A73" s="136"/>
      <c r="B73" s="41"/>
      <c r="C73" s="41"/>
      <c r="D73" s="41"/>
      <c r="E73" s="279" t="s">
        <v>18</v>
      </c>
      <c r="F73" s="41"/>
      <c r="G73" s="43"/>
      <c r="H73" s="141" t="s">
        <v>12</v>
      </c>
      <c r="I73" s="45"/>
      <c r="J73" s="45"/>
      <c r="K73" s="46"/>
      <c r="L73" s="50">
        <f>L76+L79</f>
        <v>0</v>
      </c>
      <c r="M73" s="50">
        <f>M76+M79</f>
        <v>0</v>
      </c>
      <c r="N73" s="50">
        <f>N76+N79</f>
        <v>0</v>
      </c>
      <c r="O73" s="50">
        <f>IF(L73&gt;0,N73*100/L73,0)</f>
        <v>0</v>
      </c>
      <c r="P73" s="50">
        <f>IF(M73&gt;0,N73*100/M73,0)</f>
        <v>0</v>
      </c>
    </row>
    <row r="74" spans="1:16" ht="18.75" hidden="1" x14ac:dyDescent="0.25">
      <c r="A74" s="136"/>
      <c r="B74" s="41"/>
      <c r="C74" s="41"/>
      <c r="D74" s="41"/>
      <c r="E74" s="254" t="s">
        <v>19</v>
      </c>
      <c r="F74" s="41"/>
      <c r="G74" s="43"/>
      <c r="H74" s="142" t="s">
        <v>12</v>
      </c>
      <c r="I74" s="45"/>
      <c r="J74" s="45"/>
      <c r="K74" s="46"/>
      <c r="L74" s="47">
        <f ca="1">L77+L80</f>
        <v>0</v>
      </c>
      <c r="M74" s="47">
        <f ca="1">M77+M80</f>
        <v>0</v>
      </c>
      <c r="N74" s="47">
        <f ca="1">N77+N80</f>
        <v>0</v>
      </c>
      <c r="O74" s="47">
        <f ca="1">IF(L74&gt;0,N74*100/L74,0)</f>
        <v>0</v>
      </c>
      <c r="P74" s="47">
        <f ca="1">IF(M74&gt;0,N74*100/M74,0)</f>
        <v>0</v>
      </c>
    </row>
    <row r="75" spans="1:16" ht="18.75" hidden="1" x14ac:dyDescent="0.25">
      <c r="A75" s="136"/>
      <c r="B75" s="41"/>
      <c r="C75" s="41"/>
      <c r="D75" s="42" t="s">
        <v>20</v>
      </c>
      <c r="E75" s="41"/>
      <c r="F75" s="41"/>
      <c r="G75" s="43"/>
      <c r="H75" s="143" t="s">
        <v>12</v>
      </c>
      <c r="I75" s="144"/>
      <c r="J75" s="144"/>
      <c r="K75" s="145"/>
      <c r="L75" s="47">
        <f ca="1">L76+L77</f>
        <v>0</v>
      </c>
      <c r="M75" s="47">
        <f ca="1">M76+M77</f>
        <v>0</v>
      </c>
      <c r="N75" s="47">
        <f ca="1">N76+N77</f>
        <v>0</v>
      </c>
      <c r="O75" s="47">
        <f ca="1">IF(L75&gt;0,N75*100/L75,0)</f>
        <v>0</v>
      </c>
      <c r="P75" s="47">
        <f ca="1">IF(M75&gt;0,N75*100/M75,0)</f>
        <v>0</v>
      </c>
    </row>
    <row r="76" spans="1:16" ht="18.75" hidden="1" x14ac:dyDescent="0.25">
      <c r="A76" s="136"/>
      <c r="B76" s="41"/>
      <c r="C76" s="41"/>
      <c r="D76" s="41"/>
      <c r="E76" s="279" t="s">
        <v>34</v>
      </c>
      <c r="F76" s="41"/>
      <c r="G76" s="43"/>
      <c r="H76" s="146" t="s">
        <v>12</v>
      </c>
      <c r="I76" s="144"/>
      <c r="J76" s="144"/>
      <c r="K76" s="145"/>
      <c r="L76" s="50">
        <v>0</v>
      </c>
      <c r="M76" s="50">
        <v>0</v>
      </c>
      <c r="N76" s="50">
        <v>0</v>
      </c>
      <c r="O76" s="50">
        <f>IF(L76&gt;0,N76*100/L76,0)</f>
        <v>0</v>
      </c>
      <c r="P76" s="50">
        <f>IF(M76&gt;0,N76*100/M76,0)</f>
        <v>0</v>
      </c>
    </row>
    <row r="77" spans="1:16" ht="18.75" hidden="1" x14ac:dyDescent="0.25">
      <c r="A77" s="136"/>
      <c r="B77" s="41"/>
      <c r="C77" s="41"/>
      <c r="D77" s="41"/>
      <c r="E77" s="254" t="s">
        <v>35</v>
      </c>
      <c r="F77" s="41"/>
      <c r="G77" s="43"/>
      <c r="H77" s="143" t="s">
        <v>12</v>
      </c>
      <c r="I77" s="144"/>
      <c r="J77" s="144"/>
      <c r="K77" s="145"/>
      <c r="L77" s="47">
        <f ca="1">IFERROR(__xludf.DUMMYFUNCTION("IMPORTRANGE(""https://docs.google.com/spreadsheets/d/1-uDff_7J0KD5mKrp0Vvzr7lt3OU09vwQwhkpOPPYv2Y/edit?usp=sharing"",""งบพรบ!AM17"")"),0)</f>
        <v>0</v>
      </c>
      <c r="M77" s="47">
        <f ca="1">IFERROR(__xludf.DUMMYFUNCTION("IMPORTRANGE(""https://docs.google.com/spreadsheets/d/1-uDff_7J0KD5mKrp0Vvzr7lt3OU09vwQwhkpOPPYv2Y/edit?usp=sharing"",""งบพรบ!AR17"")"),0)</f>
        <v>0</v>
      </c>
      <c r="N77" s="47">
        <f ca="1">IFERROR(__xludf.DUMMYFUNCTION("IMPORTRANGE(""https://docs.google.com/spreadsheets/d/1-uDff_7J0KD5mKrp0Vvzr7lt3OU09vwQwhkpOPPYv2Y/edit?usp=sharing"",""งบพรบ!AT17"")"),0)</f>
        <v>0</v>
      </c>
      <c r="O77" s="47">
        <f ca="1">IF(L77&gt;0,N77*100/L77,0)</f>
        <v>0</v>
      </c>
      <c r="P77" s="47">
        <f ca="1">IF(M77&gt;0,N77*100/M77,0)</f>
        <v>0</v>
      </c>
    </row>
    <row r="78" spans="1:16" ht="18.75" hidden="1" x14ac:dyDescent="0.25">
      <c r="A78" s="136"/>
      <c r="B78" s="41"/>
      <c r="C78" s="41"/>
      <c r="D78" s="42" t="s">
        <v>21</v>
      </c>
      <c r="E78" s="41"/>
      <c r="F78" s="41"/>
      <c r="G78" s="43"/>
      <c r="H78" s="147" t="s">
        <v>12</v>
      </c>
      <c r="I78" s="144"/>
      <c r="J78" s="144"/>
      <c r="K78" s="145"/>
      <c r="L78" s="47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</row>
    <row r="79" spans="1:16" ht="18.75" hidden="1" x14ac:dyDescent="0.25">
      <c r="A79" s="136"/>
      <c r="B79" s="41"/>
      <c r="C79" s="41"/>
      <c r="D79" s="41"/>
      <c r="E79" s="279" t="s">
        <v>18</v>
      </c>
      <c r="F79" s="41"/>
      <c r="G79" s="43"/>
      <c r="H79" s="146" t="s">
        <v>12</v>
      </c>
      <c r="I79" s="144"/>
      <c r="J79" s="144"/>
      <c r="K79" s="145"/>
      <c r="L79" s="50">
        <v>0</v>
      </c>
      <c r="M79" s="46"/>
      <c r="N79" s="46"/>
      <c r="O79" s="50">
        <f>IF(L79&gt;0,N79*100/L79,0)</f>
        <v>0</v>
      </c>
      <c r="P79" s="50">
        <f>IF(M79&gt;0,N79*100/M79,0)</f>
        <v>0</v>
      </c>
    </row>
    <row r="80" spans="1:16" ht="18.75" hidden="1" x14ac:dyDescent="0.25">
      <c r="A80" s="136"/>
      <c r="B80" s="41"/>
      <c r="C80" s="41"/>
      <c r="D80" s="41"/>
      <c r="E80" s="254" t="s">
        <v>19</v>
      </c>
      <c r="F80" s="41"/>
      <c r="G80" s="43"/>
      <c r="H80" s="147" t="s">
        <v>12</v>
      </c>
      <c r="I80" s="144"/>
      <c r="J80" s="144"/>
      <c r="K80" s="145"/>
      <c r="L80" s="47">
        <f ca="1">IFERROR(__xludf.DUMMYFUNCTION("IMPORTRANGE(""https://docs.google.com/spreadsheets/d/1-uDff_7J0KD5mKrp0Vvzr7lt3OU09vwQwhkpOPPYv2Y/edit?usp=sharing"",""งบพรบ!AP17"")"),0)</f>
        <v>0</v>
      </c>
      <c r="M80" s="47">
        <f ca="1">IFERROR(__xludf.DUMMYFUNCTION("IMPORTRANGE(""https://docs.google.com/spreadsheets/d/1-uDff_7J0KD5mKrp0Vvzr7lt3OU09vwQwhkpOPPYv2Y/edit?usp=sharing"",""งบพรบ!AS17"")"),0)</f>
        <v>0</v>
      </c>
      <c r="N80" s="47">
        <f ca="1">IFERROR(__xludf.DUMMYFUNCTION("IMPORTRANGE(""https://docs.google.com/spreadsheets/d/1-uDff_7J0KD5mKrp0Vvzr7lt3OU09vwQwhkpOPPYv2Y/edit?usp=sharing"",""งบพรบ!AU17"")"),0)</f>
        <v>0</v>
      </c>
      <c r="O80" s="47">
        <f ca="1">IF(L80&gt;0,N80*100/L80,0)</f>
        <v>0</v>
      </c>
      <c r="P80" s="47">
        <f ca="1">IF(M80&gt;0,N80*100/M80,0)</f>
        <v>0</v>
      </c>
    </row>
    <row r="81" spans="1:16" ht="19.5" hidden="1" x14ac:dyDescent="0.3">
      <c r="A81" s="148"/>
      <c r="B81" s="149"/>
      <c r="C81" s="197" t="s">
        <v>16</v>
      </c>
      <c r="D81" s="395" t="s">
        <v>36</v>
      </c>
      <c r="E81" s="151"/>
      <c r="F81" s="151"/>
      <c r="G81" s="152"/>
      <c r="H81" s="153"/>
      <c r="I81" s="144"/>
      <c r="J81" s="144"/>
      <c r="K81" s="145"/>
      <c r="L81" s="145"/>
      <c r="M81" s="145"/>
      <c r="N81" s="145"/>
      <c r="O81" s="145"/>
      <c r="P81" s="145"/>
    </row>
    <row r="82" spans="1:16" ht="19.5" hidden="1" x14ac:dyDescent="0.3">
      <c r="A82" s="148"/>
      <c r="B82" s="149"/>
      <c r="C82" s="149"/>
      <c r="D82" s="154" t="s">
        <v>37</v>
      </c>
      <c r="E82" s="155"/>
      <c r="F82" s="155"/>
      <c r="G82" s="153"/>
      <c r="H82" s="156" t="s">
        <v>32</v>
      </c>
      <c r="I82" s="157">
        <f ca="1">I84+I86+I88</f>
        <v>0</v>
      </c>
      <c r="J82" s="157">
        <f>J84+J86+J88</f>
        <v>0</v>
      </c>
      <c r="K82" s="158">
        <f ca="1">IF(I82&gt;0,J82*100/I82,0)</f>
        <v>0</v>
      </c>
      <c r="L82" s="145"/>
      <c r="M82" s="145"/>
      <c r="N82" s="145"/>
      <c r="O82" s="145"/>
      <c r="P82" s="145"/>
    </row>
    <row r="83" spans="1:16" ht="19.5" hidden="1" x14ac:dyDescent="0.3">
      <c r="A83" s="148"/>
      <c r="B83" s="149"/>
      <c r="C83" s="149"/>
      <c r="D83" s="149"/>
      <c r="E83" s="155"/>
      <c r="F83" s="155"/>
      <c r="G83" s="153"/>
      <c r="H83" s="156" t="s">
        <v>33</v>
      </c>
      <c r="I83" s="157">
        <f ca="1">I85+I87+I89</f>
        <v>0</v>
      </c>
      <c r="J83" s="157">
        <f>J85+J87+J89</f>
        <v>0</v>
      </c>
      <c r="K83" s="158">
        <f ca="1">IF(I83&gt;0,J83*100/I83,0)</f>
        <v>0</v>
      </c>
      <c r="L83" s="145"/>
      <c r="M83" s="145"/>
      <c r="N83" s="145"/>
      <c r="O83" s="145"/>
      <c r="P83" s="145"/>
    </row>
    <row r="84" spans="1:16" ht="18.75" hidden="1" x14ac:dyDescent="0.25">
      <c r="A84" s="148"/>
      <c r="B84" s="149"/>
      <c r="C84" s="149"/>
      <c r="D84" s="149"/>
      <c r="E84" s="159" t="s">
        <v>38</v>
      </c>
      <c r="F84" s="155"/>
      <c r="G84" s="153"/>
      <c r="H84" s="251" t="s">
        <v>32</v>
      </c>
      <c r="I84" s="161">
        <f ca="1">IFERROR(__xludf.DUMMYFUNCTION("IMPORTRANGE(""https://docs.google.com/spreadsheets/d/1eHaY18a8A9IcSdp1K8H6x8fbOy06t2VsZHhMHf-1x7Y/edit?usp=sharing"",""แผน!H17"")"),0)</f>
        <v>0</v>
      </c>
      <c r="J84" s="250">
        <v>0</v>
      </c>
      <c r="K84" s="163">
        <f ca="1">IF(I84&gt;0,J84*100/I84,0)</f>
        <v>0</v>
      </c>
      <c r="L84" s="145"/>
      <c r="M84" s="145"/>
      <c r="N84" s="145"/>
      <c r="O84" s="145"/>
      <c r="P84" s="145"/>
    </row>
    <row r="85" spans="1:16" ht="18.75" hidden="1" x14ac:dyDescent="0.25">
      <c r="A85" s="148"/>
      <c r="B85" s="149"/>
      <c r="C85" s="149"/>
      <c r="D85" s="149"/>
      <c r="E85" s="155"/>
      <c r="F85" s="155"/>
      <c r="G85" s="153"/>
      <c r="H85" s="251" t="s">
        <v>33</v>
      </c>
      <c r="I85" s="161">
        <f ca="1">IFERROR(__xludf.DUMMYFUNCTION("IMPORTRANGE(""https://docs.google.com/spreadsheets/d/1eHaY18a8A9IcSdp1K8H6x8fbOy06t2VsZHhMHf-1x7Y/edit?usp=sharing"",""แผน!I17"")"),0)</f>
        <v>0</v>
      </c>
      <c r="J85" s="250">
        <v>0</v>
      </c>
      <c r="K85" s="163">
        <f ca="1">IF(I85&gt;0,J85*100/I85,0)</f>
        <v>0</v>
      </c>
      <c r="L85" s="145"/>
      <c r="M85" s="145"/>
      <c r="N85" s="145"/>
      <c r="O85" s="145"/>
      <c r="P85" s="145"/>
    </row>
    <row r="86" spans="1:16" ht="18.75" hidden="1" x14ac:dyDescent="0.25">
      <c r="A86" s="148"/>
      <c r="B86" s="149"/>
      <c r="C86" s="149"/>
      <c r="D86" s="149"/>
      <c r="E86" s="159" t="s">
        <v>39</v>
      </c>
      <c r="F86" s="155"/>
      <c r="G86" s="153"/>
      <c r="H86" s="251" t="s">
        <v>32</v>
      </c>
      <c r="I86" s="161">
        <f ca="1">IFERROR(__xludf.DUMMYFUNCTION("IMPORTRANGE(""https://docs.google.com/spreadsheets/d/1eHaY18a8A9IcSdp1K8H6x8fbOy06t2VsZHhMHf-1x7Y/edit?usp=sharing"",""แผน!F17"")"),0)</f>
        <v>0</v>
      </c>
      <c r="J86" s="250">
        <v>0</v>
      </c>
      <c r="K86" s="163">
        <f ca="1">IF(I86&gt;0,J86*100/I86,0)</f>
        <v>0</v>
      </c>
      <c r="L86" s="145"/>
      <c r="M86" s="145"/>
      <c r="N86" s="145"/>
      <c r="O86" s="145"/>
      <c r="P86" s="145"/>
    </row>
    <row r="87" spans="1:16" ht="18.75" hidden="1" x14ac:dyDescent="0.25">
      <c r="A87" s="148"/>
      <c r="B87" s="149"/>
      <c r="C87" s="149"/>
      <c r="D87" s="149"/>
      <c r="E87" s="155"/>
      <c r="F87" s="155"/>
      <c r="G87" s="153"/>
      <c r="H87" s="251" t="s">
        <v>33</v>
      </c>
      <c r="I87" s="161">
        <f ca="1">IFERROR(__xludf.DUMMYFUNCTION("IMPORTRANGE(""https://docs.google.com/spreadsheets/d/1eHaY18a8A9IcSdp1K8H6x8fbOy06t2VsZHhMHf-1x7Y/edit?usp=sharing"",""แผน!G17"")"),0)</f>
        <v>0</v>
      </c>
      <c r="J87" s="250">
        <v>0</v>
      </c>
      <c r="K87" s="163">
        <f ca="1">IF(I87&gt;0,J87*100/I87,0)</f>
        <v>0</v>
      </c>
      <c r="L87" s="145"/>
      <c r="M87" s="145"/>
      <c r="N87" s="145"/>
      <c r="O87" s="145"/>
      <c r="P87" s="145"/>
    </row>
    <row r="88" spans="1:16" ht="18.75" hidden="1" x14ac:dyDescent="0.25">
      <c r="A88" s="148"/>
      <c r="B88" s="149"/>
      <c r="C88" s="149"/>
      <c r="D88" s="149"/>
      <c r="E88" s="159" t="s">
        <v>40</v>
      </c>
      <c r="F88" s="155"/>
      <c r="G88" s="153"/>
      <c r="H88" s="251" t="s">
        <v>32</v>
      </c>
      <c r="I88" s="161">
        <f ca="1">IFERROR(__xludf.DUMMYFUNCTION("IMPORTRANGE(""https://docs.google.com/spreadsheets/d/1eHaY18a8A9IcSdp1K8H6x8fbOy06t2VsZHhMHf-1x7Y/edit?usp=sharing"",""แผน!D17"")"),0)</f>
        <v>0</v>
      </c>
      <c r="J88" s="250">
        <v>0</v>
      </c>
      <c r="K88" s="163">
        <f ca="1">IF(I88&gt;0,J88*100/I88,0)</f>
        <v>0</v>
      </c>
      <c r="L88" s="145"/>
      <c r="M88" s="145"/>
      <c r="N88" s="145"/>
      <c r="O88" s="145"/>
      <c r="P88" s="145"/>
    </row>
    <row r="89" spans="1:16" ht="18.75" hidden="1" x14ac:dyDescent="0.25">
      <c r="A89" s="148"/>
      <c r="B89" s="149"/>
      <c r="C89" s="149"/>
      <c r="D89" s="149"/>
      <c r="E89" s="155"/>
      <c r="F89" s="155"/>
      <c r="G89" s="153"/>
      <c r="H89" s="251" t="s">
        <v>33</v>
      </c>
      <c r="I89" s="161">
        <f ca="1">IFERROR(__xludf.DUMMYFUNCTION("IMPORTRANGE(""https://docs.google.com/spreadsheets/d/1eHaY18a8A9IcSdp1K8H6x8fbOy06t2VsZHhMHf-1x7Y/edit?usp=sharing"",""แผน!E17"")"),0)</f>
        <v>0</v>
      </c>
      <c r="J89" s="250">
        <v>0</v>
      </c>
      <c r="K89" s="163">
        <f ca="1">IF(I89&gt;0,J89*100/I89,0)</f>
        <v>0</v>
      </c>
      <c r="L89" s="145"/>
      <c r="M89" s="145"/>
      <c r="N89" s="145"/>
      <c r="O89" s="145"/>
      <c r="P89" s="145"/>
    </row>
    <row r="90" spans="1:16" ht="18.75" hidden="1" x14ac:dyDescent="0.25">
      <c r="A90" s="148"/>
      <c r="B90" s="149"/>
      <c r="C90" s="149"/>
      <c r="D90" s="154" t="s">
        <v>41</v>
      </c>
      <c r="E90" s="155"/>
      <c r="F90" s="155"/>
      <c r="G90" s="153"/>
      <c r="H90" s="164" t="s">
        <v>32</v>
      </c>
      <c r="I90" s="161">
        <f ca="1">IFERROR(__xludf.DUMMYFUNCTION("IMPORTRANGE(""https://docs.google.com/spreadsheets/d/1eHaY18a8A9IcSdp1K8H6x8fbOy06t2VsZHhMHf-1x7Y/edit?usp=sharing"",""แผน!J17"")"),0)</f>
        <v>0</v>
      </c>
      <c r="J90" s="250">
        <v>0</v>
      </c>
      <c r="K90" s="163">
        <f ca="1">IF(I90&gt;0,J90*100/I90,0)</f>
        <v>0</v>
      </c>
      <c r="L90" s="145"/>
      <c r="M90" s="145"/>
      <c r="N90" s="145"/>
      <c r="O90" s="145"/>
      <c r="P90" s="145"/>
    </row>
    <row r="91" spans="1:16" ht="19.5" hidden="1" x14ac:dyDescent="0.3">
      <c r="A91" s="125" t="s">
        <v>42</v>
      </c>
      <c r="B91" s="126"/>
      <c r="C91" s="127"/>
      <c r="D91" s="126"/>
      <c r="E91" s="126"/>
      <c r="F91" s="126"/>
      <c r="G91" s="128"/>
      <c r="H91" s="128"/>
      <c r="I91" s="129"/>
      <c r="J91" s="129"/>
      <c r="K91" s="130"/>
      <c r="L91" s="130"/>
      <c r="M91" s="130"/>
      <c r="N91" s="130"/>
      <c r="O91" s="130"/>
      <c r="P91" s="130"/>
    </row>
    <row r="92" spans="1:16" ht="19.5" hidden="1" x14ac:dyDescent="0.3">
      <c r="A92" s="131"/>
      <c r="B92" s="132" t="s">
        <v>43</v>
      </c>
      <c r="C92" s="26"/>
      <c r="D92" s="133"/>
      <c r="E92" s="26"/>
      <c r="F92" s="26"/>
      <c r="G92" s="29"/>
      <c r="H92" s="134" t="s">
        <v>44</v>
      </c>
      <c r="I92" s="135">
        <f ca="1">I108</f>
        <v>0</v>
      </c>
      <c r="J92" s="135">
        <f>J108</f>
        <v>0</v>
      </c>
      <c r="K92" s="33">
        <f ca="1">IF(I92&gt;0,J92*100/I92,0)</f>
        <v>0</v>
      </c>
      <c r="L92" s="32"/>
      <c r="M92" s="32"/>
      <c r="N92" s="32"/>
      <c r="O92" s="32"/>
      <c r="P92" s="32"/>
    </row>
    <row r="93" spans="1:16" ht="19.5" hidden="1" x14ac:dyDescent="0.3">
      <c r="A93" s="131"/>
      <c r="B93" s="26"/>
      <c r="C93" s="26"/>
      <c r="D93" s="133"/>
      <c r="E93" s="26"/>
      <c r="F93" s="26"/>
      <c r="G93" s="29"/>
      <c r="H93" s="134" t="s">
        <v>33</v>
      </c>
      <c r="I93" s="135">
        <f ca="1">I109</f>
        <v>0</v>
      </c>
      <c r="J93" s="135">
        <f>J109</f>
        <v>0</v>
      </c>
      <c r="K93" s="33">
        <f ca="1">IF(I93&gt;0,J93*100/I93,0)</f>
        <v>0</v>
      </c>
      <c r="L93" s="32"/>
      <c r="M93" s="32"/>
      <c r="N93" s="32"/>
      <c r="O93" s="32"/>
      <c r="P93" s="32"/>
    </row>
    <row r="94" spans="1:16" ht="19.5" hidden="1" x14ac:dyDescent="0.3">
      <c r="A94" s="136"/>
      <c r="B94" s="41"/>
      <c r="C94" s="197" t="s">
        <v>16</v>
      </c>
      <c r="D94" s="397" t="s">
        <v>17</v>
      </c>
      <c r="E94" s="41"/>
      <c r="F94" s="41"/>
      <c r="G94" s="43"/>
      <c r="H94" s="139" t="s">
        <v>12</v>
      </c>
      <c r="I94" s="45"/>
      <c r="J94" s="45"/>
      <c r="K94" s="46"/>
      <c r="L94" s="140">
        <f ca="1">L95+L96</f>
        <v>0</v>
      </c>
      <c r="M94" s="140">
        <f ca="1">M95+M96</f>
        <v>0</v>
      </c>
      <c r="N94" s="140">
        <f ca="1">N95+N96</f>
        <v>0</v>
      </c>
      <c r="O94" s="140">
        <f ca="1">IF(L94&gt;0,N94*100/L94,0)</f>
        <v>0</v>
      </c>
      <c r="P94" s="140">
        <f ca="1">IF(M94&gt;0,N94*100/M94,0)</f>
        <v>0</v>
      </c>
    </row>
    <row r="95" spans="1:16" ht="18.75" hidden="1" x14ac:dyDescent="0.25">
      <c r="A95" s="136"/>
      <c r="B95" s="41"/>
      <c r="C95" s="41"/>
      <c r="D95" s="41"/>
      <c r="E95" s="279" t="s">
        <v>18</v>
      </c>
      <c r="F95" s="41"/>
      <c r="G95" s="43"/>
      <c r="H95" s="141" t="s">
        <v>12</v>
      </c>
      <c r="I95" s="45"/>
      <c r="J95" s="45"/>
      <c r="K95" s="46"/>
      <c r="L95" s="50">
        <f>L98+L101</f>
        <v>0</v>
      </c>
      <c r="M95" s="50">
        <f>M98+M101</f>
        <v>0</v>
      </c>
      <c r="N95" s="50">
        <f>N98+N101</f>
        <v>0</v>
      </c>
      <c r="O95" s="50">
        <f>IF(L95&gt;0,N95*100/L95,0)</f>
        <v>0</v>
      </c>
      <c r="P95" s="50">
        <f>IF(M95&gt;0,N95*100/M95,0)</f>
        <v>0</v>
      </c>
    </row>
    <row r="96" spans="1:16" ht="18.75" hidden="1" x14ac:dyDescent="0.25">
      <c r="A96" s="136"/>
      <c r="B96" s="41"/>
      <c r="C96" s="41"/>
      <c r="D96" s="41"/>
      <c r="E96" s="254" t="s">
        <v>19</v>
      </c>
      <c r="F96" s="41"/>
      <c r="G96" s="43"/>
      <c r="H96" s="142" t="s">
        <v>12</v>
      </c>
      <c r="I96" s="45"/>
      <c r="J96" s="45"/>
      <c r="K96" s="46"/>
      <c r="L96" s="47">
        <f ca="1">L99+L102</f>
        <v>0</v>
      </c>
      <c r="M96" s="47">
        <f ca="1">M99+M102</f>
        <v>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</row>
    <row r="97" spans="1:16" ht="18.75" hidden="1" x14ac:dyDescent="0.25">
      <c r="A97" s="136"/>
      <c r="B97" s="41"/>
      <c r="C97" s="41"/>
      <c r="D97" s="42" t="s">
        <v>20</v>
      </c>
      <c r="E97" s="41"/>
      <c r="F97" s="41"/>
      <c r="G97" s="43"/>
      <c r="H97" s="143" t="s">
        <v>12</v>
      </c>
      <c r="I97" s="144"/>
      <c r="J97" s="144"/>
      <c r="K97" s="145"/>
      <c r="L97" s="47">
        <f ca="1">L98+L99</f>
        <v>0</v>
      </c>
      <c r="M97" s="47">
        <f ca="1">M98+M99</f>
        <v>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</row>
    <row r="98" spans="1:16" ht="18.75" hidden="1" x14ac:dyDescent="0.25">
      <c r="A98" s="136"/>
      <c r="B98" s="41"/>
      <c r="C98" s="41"/>
      <c r="D98" s="41"/>
      <c r="E98" s="279" t="s">
        <v>34</v>
      </c>
      <c r="F98" s="41"/>
      <c r="G98" s="43"/>
      <c r="H98" s="146" t="s">
        <v>12</v>
      </c>
      <c r="I98" s="144"/>
      <c r="J98" s="144"/>
      <c r="K98" s="145"/>
      <c r="L98" s="50">
        <v>0</v>
      </c>
      <c r="M98" s="50">
        <v>0</v>
      </c>
      <c r="N98" s="50">
        <v>0</v>
      </c>
      <c r="O98" s="50">
        <f>IF(L98&gt;0,N98*100/L98,0)</f>
        <v>0</v>
      </c>
      <c r="P98" s="50">
        <f>IF(M98&gt;0,N98*100/M98,0)</f>
        <v>0</v>
      </c>
    </row>
    <row r="99" spans="1:16" ht="18.75" hidden="1" x14ac:dyDescent="0.25">
      <c r="A99" s="136"/>
      <c r="B99" s="41"/>
      <c r="C99" s="41"/>
      <c r="D99" s="41"/>
      <c r="E99" s="254" t="s">
        <v>35</v>
      </c>
      <c r="F99" s="41"/>
      <c r="G99" s="43"/>
      <c r="H99" s="143" t="s">
        <v>12</v>
      </c>
      <c r="I99" s="144"/>
      <c r="J99" s="144"/>
      <c r="K99" s="145"/>
      <c r="L99" s="47">
        <f ca="1">IFERROR(__xludf.DUMMYFUNCTION("IMPORTRANGE(""https://docs.google.com/spreadsheets/d/1-uDff_7J0KD5mKrp0Vvzr7lt3OU09vwQwhkpOPPYv2Y/edit?usp=sharing"",""งบพรบ!AW17"")"),0)</f>
        <v>0</v>
      </c>
      <c r="M99" s="47">
        <f ca="1">IFERROR(__xludf.DUMMYFUNCTION("IMPORTRANGE(""https://docs.google.com/spreadsheets/d/1-uDff_7J0KD5mKrp0Vvzr7lt3OU09vwQwhkpOPPYv2Y/edit?usp=sharing"",""งบพรบ!BB17"")"),0)</f>
        <v>0</v>
      </c>
      <c r="N99" s="47">
        <f ca="1">IFERROR(__xludf.DUMMYFUNCTION("IMPORTRANGE(""https://docs.google.com/spreadsheets/d/1-uDff_7J0KD5mKrp0Vvzr7lt3OU09vwQwhkpOPPYv2Y/edit?usp=sharing"",""งบพรบ!BD17"")"),0)</f>
        <v>0</v>
      </c>
      <c r="O99" s="47">
        <f ca="1">IF(L99&gt;0,N99*100/L99,0)</f>
        <v>0</v>
      </c>
      <c r="P99" s="47">
        <f ca="1">IF(M99&gt;0,N99*100/M99,0)</f>
        <v>0</v>
      </c>
    </row>
    <row r="100" spans="1:16" ht="18.75" hidden="1" x14ac:dyDescent="0.25">
      <c r="A100" s="136"/>
      <c r="B100" s="41"/>
      <c r="C100" s="41"/>
      <c r="D100" s="42" t="s">
        <v>21</v>
      </c>
      <c r="E100" s="41"/>
      <c r="F100" s="41"/>
      <c r="G100" s="43"/>
      <c r="H100" s="147" t="s">
        <v>12</v>
      </c>
      <c r="I100" s="144"/>
      <c r="J100" s="144"/>
      <c r="K100" s="145"/>
      <c r="L100" s="47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</row>
    <row r="101" spans="1:16" ht="18.75" hidden="1" x14ac:dyDescent="0.25">
      <c r="A101" s="136"/>
      <c r="B101" s="41"/>
      <c r="C101" s="41"/>
      <c r="D101" s="41"/>
      <c r="E101" s="279" t="s">
        <v>18</v>
      </c>
      <c r="F101" s="41"/>
      <c r="G101" s="43"/>
      <c r="H101" s="146" t="s">
        <v>12</v>
      </c>
      <c r="I101" s="144"/>
      <c r="J101" s="144"/>
      <c r="K101" s="145"/>
      <c r="L101" s="50">
        <v>0</v>
      </c>
      <c r="M101" s="50">
        <v>0</v>
      </c>
      <c r="N101" s="50">
        <v>0</v>
      </c>
      <c r="O101" s="50">
        <f>IF(L101&gt;0,N101*100/L101,0)</f>
        <v>0</v>
      </c>
      <c r="P101" s="50">
        <f>IF(M101&gt;0,N101*100/M101,0)</f>
        <v>0</v>
      </c>
    </row>
    <row r="102" spans="1:16" ht="18.75" hidden="1" x14ac:dyDescent="0.25">
      <c r="A102" s="136"/>
      <c r="B102" s="41"/>
      <c r="C102" s="41"/>
      <c r="D102" s="41"/>
      <c r="E102" s="254" t="s">
        <v>19</v>
      </c>
      <c r="F102" s="41"/>
      <c r="G102" s="43"/>
      <c r="H102" s="147" t="s">
        <v>12</v>
      </c>
      <c r="I102" s="144"/>
      <c r="J102" s="144"/>
      <c r="K102" s="145"/>
      <c r="L102" s="47">
        <f ca="1">IFERROR(__xludf.DUMMYFUNCTION("IMPORTRANGE(""https://docs.google.com/spreadsheets/d/1-uDff_7J0KD5mKrp0Vvzr7lt3OU09vwQwhkpOPPYv2Y/edit?usp=sharing"",""งบพรบ!AZ17"")"),0)</f>
        <v>0</v>
      </c>
      <c r="M102" s="47">
        <f ca="1">IFERROR(__xludf.DUMMYFUNCTION("IMPORTRANGE(""https://docs.google.com/spreadsheets/d/1-uDff_7J0KD5mKrp0Vvzr7lt3OU09vwQwhkpOPPYv2Y/edit?usp=sharing"",""งบพรบ!BC17"")"),0)</f>
        <v>0</v>
      </c>
      <c r="N102" s="47">
        <f ca="1">IFERROR(__xludf.DUMMYFUNCTION("IMPORTRANGE(""https://docs.google.com/spreadsheets/d/1-uDff_7J0KD5mKrp0Vvzr7lt3OU09vwQwhkpOPPYv2Y/edit?usp=sharing"",""งบพรบ!BE17"")"),0)</f>
        <v>0</v>
      </c>
      <c r="O102" s="47">
        <f ca="1">IF(L102&gt;0,N102*100/L102,0)</f>
        <v>0</v>
      </c>
      <c r="P102" s="47">
        <f ca="1">IF(M102&gt;0,N102*100/M102,0)</f>
        <v>0</v>
      </c>
    </row>
    <row r="103" spans="1:16" ht="19.5" hidden="1" x14ac:dyDescent="0.3">
      <c r="A103" s="148"/>
      <c r="B103" s="149"/>
      <c r="C103" s="197" t="s">
        <v>16</v>
      </c>
      <c r="D103" s="395" t="s">
        <v>36</v>
      </c>
      <c r="E103" s="151"/>
      <c r="F103" s="151"/>
      <c r="G103" s="152"/>
      <c r="H103" s="153"/>
      <c r="I103" s="144"/>
      <c r="J103" s="45"/>
      <c r="K103" s="46"/>
      <c r="L103" s="46"/>
      <c r="M103" s="46"/>
      <c r="N103" s="46"/>
      <c r="O103" s="145"/>
      <c r="P103" s="145"/>
    </row>
    <row r="104" spans="1:16" ht="12.75" hidden="1" x14ac:dyDescent="0.2">
      <c r="A104" s="165"/>
      <c r="B104" s="166"/>
      <c r="C104" s="166"/>
      <c r="D104" s="16"/>
      <c r="E104" s="16"/>
      <c r="F104" s="16"/>
      <c r="G104" s="17"/>
      <c r="H104" s="17"/>
      <c r="I104" s="18"/>
      <c r="J104" s="18"/>
      <c r="K104" s="19"/>
      <c r="L104" s="19"/>
      <c r="M104" s="19"/>
      <c r="N104" s="19"/>
      <c r="O104" s="19"/>
      <c r="P104" s="19"/>
    </row>
    <row r="105" spans="1:16" ht="12.75" hidden="1" x14ac:dyDescent="0.2">
      <c r="A105" s="165"/>
      <c r="B105" s="166"/>
      <c r="C105" s="166"/>
      <c r="D105" s="16"/>
      <c r="E105" s="16"/>
      <c r="F105" s="16"/>
      <c r="G105" s="17"/>
      <c r="H105" s="17"/>
      <c r="I105" s="18"/>
      <c r="J105" s="18"/>
      <c r="K105" s="19"/>
      <c r="L105" s="19"/>
      <c r="M105" s="19"/>
      <c r="N105" s="19"/>
      <c r="O105" s="19"/>
      <c r="P105" s="19"/>
    </row>
    <row r="106" spans="1:16" ht="12.75" hidden="1" x14ac:dyDescent="0.2">
      <c r="A106" s="165"/>
      <c r="B106" s="166"/>
      <c r="C106" s="166"/>
      <c r="D106" s="166"/>
      <c r="E106" s="16"/>
      <c r="F106" s="16"/>
      <c r="G106" s="17"/>
      <c r="H106" s="17"/>
      <c r="I106" s="18"/>
      <c r="J106" s="18"/>
      <c r="K106" s="19"/>
      <c r="L106" s="19"/>
      <c r="M106" s="19"/>
      <c r="N106" s="19"/>
      <c r="O106" s="19"/>
      <c r="P106" s="19"/>
    </row>
    <row r="107" spans="1:16" ht="19.5" hidden="1" x14ac:dyDescent="0.3">
      <c r="A107" s="148"/>
      <c r="B107" s="149"/>
      <c r="C107" s="149"/>
      <c r="D107" s="167" t="s">
        <v>45</v>
      </c>
      <c r="E107" s="168"/>
      <c r="F107" s="155"/>
      <c r="G107" s="153"/>
      <c r="H107" s="43"/>
      <c r="I107" s="45"/>
      <c r="J107" s="45"/>
      <c r="K107" s="46"/>
      <c r="L107" s="46"/>
      <c r="M107" s="46"/>
      <c r="N107" s="46"/>
      <c r="O107" s="145"/>
      <c r="P107" s="145"/>
    </row>
    <row r="108" spans="1:16" ht="18.75" hidden="1" x14ac:dyDescent="0.25">
      <c r="A108" s="148"/>
      <c r="B108" s="149"/>
      <c r="C108" s="149"/>
      <c r="D108" s="159" t="s">
        <v>46</v>
      </c>
      <c r="E108" s="155"/>
      <c r="F108" s="155"/>
      <c r="G108" s="153"/>
      <c r="H108" s="44" t="s">
        <v>44</v>
      </c>
      <c r="I108" s="169">
        <f ca="1">IFERROR(__xludf.DUMMYFUNCTION("IMPORTRANGE(""https://docs.google.com/spreadsheets/d/1eHaY18a8A9IcSdp1K8H6x8fbOy06t2VsZHhMHf-1x7Y/edit?usp=sharing"",""แผน!N17"")"),0)</f>
        <v>0</v>
      </c>
      <c r="J108" s="250">
        <v>0</v>
      </c>
      <c r="K108" s="47">
        <f ca="1">IF(I108&gt;0,J108*100/I108,0)</f>
        <v>0</v>
      </c>
      <c r="L108" s="46"/>
      <c r="M108" s="46"/>
      <c r="N108" s="46"/>
      <c r="O108" s="145"/>
      <c r="P108" s="145"/>
    </row>
    <row r="109" spans="1:16" ht="18.75" hidden="1" x14ac:dyDescent="0.25">
      <c r="A109" s="148"/>
      <c r="B109" s="149"/>
      <c r="C109" s="149"/>
      <c r="D109" s="159" t="s">
        <v>47</v>
      </c>
      <c r="E109" s="155"/>
      <c r="F109" s="155"/>
      <c r="G109" s="153"/>
      <c r="H109" s="44" t="s">
        <v>33</v>
      </c>
      <c r="I109" s="169">
        <f ca="1">IFERROR(__xludf.DUMMYFUNCTION("IMPORTRANGE(""https://docs.google.com/spreadsheets/d/1eHaY18a8A9IcSdp1K8H6x8fbOy06t2VsZHhMHf-1x7Y/edit?usp=sharing"",""แผน!O17"")"),0)</f>
        <v>0</v>
      </c>
      <c r="J109" s="250">
        <v>0</v>
      </c>
      <c r="K109" s="47">
        <f ca="1">IF(I109&gt;0,J109*100/I109,0)</f>
        <v>0</v>
      </c>
      <c r="L109" s="46"/>
      <c r="M109" s="46"/>
      <c r="N109" s="46"/>
      <c r="O109" s="145"/>
      <c r="P109" s="145"/>
    </row>
    <row r="110" spans="1:16" ht="12.75" hidden="1" x14ac:dyDescent="0.2">
      <c r="A110" s="165"/>
      <c r="B110" s="166"/>
      <c r="C110" s="166"/>
      <c r="D110" s="16"/>
      <c r="E110" s="16"/>
      <c r="F110" s="16"/>
      <c r="G110" s="17"/>
      <c r="H110" s="17"/>
      <c r="I110" s="18"/>
      <c r="J110" s="18"/>
      <c r="K110" s="19"/>
      <c r="L110" s="19"/>
      <c r="M110" s="19"/>
      <c r="N110" s="19"/>
      <c r="O110" s="19"/>
      <c r="P110" s="19"/>
    </row>
    <row r="111" spans="1:16" ht="12.75" hidden="1" x14ac:dyDescent="0.2">
      <c r="A111" s="165"/>
      <c r="B111" s="166"/>
      <c r="C111" s="166"/>
      <c r="D111" s="16"/>
      <c r="E111" s="16"/>
      <c r="F111" s="16"/>
      <c r="G111" s="17"/>
      <c r="H111" s="17"/>
      <c r="I111" s="18"/>
      <c r="J111" s="18"/>
      <c r="K111" s="19"/>
      <c r="L111" s="19"/>
      <c r="M111" s="19"/>
      <c r="N111" s="19"/>
      <c r="O111" s="19"/>
      <c r="P111" s="19"/>
    </row>
    <row r="112" spans="1:16" ht="12.75" hidden="1" x14ac:dyDescent="0.2">
      <c r="A112" s="165"/>
      <c r="B112" s="166"/>
      <c r="C112" s="166"/>
      <c r="D112" s="16"/>
      <c r="E112" s="16"/>
      <c r="F112" s="16"/>
      <c r="G112" s="17"/>
      <c r="H112" s="17"/>
      <c r="I112" s="18"/>
      <c r="J112" s="18"/>
      <c r="K112" s="19"/>
      <c r="L112" s="19"/>
      <c r="M112" s="19"/>
      <c r="N112" s="19"/>
      <c r="O112" s="19"/>
      <c r="P112" s="19"/>
    </row>
    <row r="113" spans="1:16" ht="12.75" hidden="1" x14ac:dyDescent="0.2">
      <c r="A113" s="165"/>
      <c r="B113" s="166"/>
      <c r="C113" s="166"/>
      <c r="D113" s="16"/>
      <c r="E113" s="16"/>
      <c r="F113" s="16"/>
      <c r="G113" s="17"/>
      <c r="H113" s="17"/>
      <c r="I113" s="18"/>
      <c r="J113" s="18"/>
      <c r="K113" s="19"/>
      <c r="L113" s="19"/>
      <c r="M113" s="19"/>
      <c r="N113" s="19"/>
      <c r="O113" s="19"/>
      <c r="P113" s="19"/>
    </row>
    <row r="114" spans="1:16" ht="12.75" hidden="1" x14ac:dyDescent="0.2">
      <c r="A114" s="165"/>
      <c r="B114" s="166"/>
      <c r="C114" s="166"/>
      <c r="D114" s="16"/>
      <c r="E114" s="16"/>
      <c r="F114" s="16"/>
      <c r="G114" s="17"/>
      <c r="H114" s="17"/>
      <c r="I114" s="18"/>
      <c r="J114" s="18"/>
      <c r="K114" s="19"/>
      <c r="L114" s="19"/>
      <c r="M114" s="19"/>
      <c r="N114" s="19"/>
      <c r="O114" s="19"/>
      <c r="P114" s="19"/>
    </row>
    <row r="115" spans="1:16" ht="12.75" hidden="1" x14ac:dyDescent="0.2">
      <c r="A115" s="165"/>
      <c r="B115" s="166"/>
      <c r="C115" s="166"/>
      <c r="D115" s="16"/>
      <c r="E115" s="16"/>
      <c r="F115" s="16"/>
      <c r="G115" s="17"/>
      <c r="H115" s="17"/>
      <c r="I115" s="18"/>
      <c r="J115" s="18"/>
      <c r="K115" s="19"/>
      <c r="L115" s="19"/>
      <c r="M115" s="19"/>
      <c r="N115" s="19"/>
      <c r="O115" s="19"/>
      <c r="P115" s="19"/>
    </row>
    <row r="116" spans="1:16" ht="12.75" hidden="1" x14ac:dyDescent="0.2">
      <c r="A116" s="165"/>
      <c r="B116" s="166"/>
      <c r="C116" s="166"/>
      <c r="D116" s="16"/>
      <c r="E116" s="16"/>
      <c r="F116" s="16"/>
      <c r="G116" s="17"/>
      <c r="H116" s="17"/>
      <c r="I116" s="18"/>
      <c r="J116" s="18"/>
      <c r="K116" s="19"/>
      <c r="L116" s="19"/>
      <c r="M116" s="19"/>
      <c r="N116" s="19"/>
      <c r="O116" s="19"/>
      <c r="P116" s="19"/>
    </row>
    <row r="117" spans="1:16" ht="18.75" hidden="1" x14ac:dyDescent="0.25">
      <c r="A117" s="148"/>
      <c r="B117" s="149"/>
      <c r="C117" s="149"/>
      <c r="D117" s="159" t="s">
        <v>48</v>
      </c>
      <c r="E117" s="155"/>
      <c r="F117" s="155"/>
      <c r="G117" s="153"/>
      <c r="H117" s="251" t="s">
        <v>33</v>
      </c>
      <c r="I117" s="161">
        <f ca="1">IFERROR(__xludf.DUMMYFUNCTION("IMPORTRANGE(""https://docs.google.com/spreadsheets/d/1eHaY18a8A9IcSdp1K8H6x8fbOy06t2VsZHhMHf-1x7Y/edit?usp=sharing"",""แผน!R17"")"),0)</f>
        <v>0</v>
      </c>
      <c r="J117" s="250">
        <v>0</v>
      </c>
      <c r="K117" s="47">
        <f ca="1">IF(I117&gt;0,J117*100/I117,0)</f>
        <v>0</v>
      </c>
      <c r="L117" s="46"/>
      <c r="M117" s="46"/>
      <c r="N117" s="46"/>
      <c r="O117" s="145"/>
      <c r="P117" s="145"/>
    </row>
    <row r="118" spans="1:16" ht="12.75" hidden="1" x14ac:dyDescent="0.2">
      <c r="A118" s="165"/>
      <c r="B118" s="166"/>
      <c r="C118" s="166"/>
      <c r="D118" s="166"/>
      <c r="E118" s="16"/>
      <c r="F118" s="16"/>
      <c r="G118" s="17"/>
      <c r="H118" s="17"/>
      <c r="I118" s="18"/>
      <c r="J118" s="18"/>
      <c r="K118" s="19"/>
      <c r="L118" s="19"/>
      <c r="M118" s="19"/>
      <c r="N118" s="19"/>
      <c r="O118" s="19"/>
      <c r="P118" s="19"/>
    </row>
    <row r="119" spans="1:16" ht="12.75" hidden="1" x14ac:dyDescent="0.2">
      <c r="A119" s="165"/>
      <c r="B119" s="166"/>
      <c r="C119" s="166"/>
      <c r="D119" s="166"/>
      <c r="E119" s="16"/>
      <c r="F119" s="16"/>
      <c r="G119" s="17"/>
      <c r="H119" s="17"/>
      <c r="I119" s="18"/>
      <c r="J119" s="18"/>
      <c r="K119" s="19"/>
      <c r="L119" s="19"/>
      <c r="M119" s="19"/>
      <c r="N119" s="19"/>
      <c r="O119" s="19"/>
      <c r="P119" s="19"/>
    </row>
    <row r="120" spans="1:16" ht="12.75" hidden="1" x14ac:dyDescent="0.2">
      <c r="A120" s="165"/>
      <c r="B120" s="166"/>
      <c r="C120" s="166"/>
      <c r="D120" s="166"/>
      <c r="E120" s="16"/>
      <c r="F120" s="16"/>
      <c r="G120" s="17"/>
      <c r="H120" s="17"/>
      <c r="I120" s="18"/>
      <c r="J120" s="18"/>
      <c r="K120" s="19"/>
      <c r="L120" s="19"/>
      <c r="M120" s="19"/>
      <c r="N120" s="19"/>
      <c r="O120" s="19"/>
      <c r="P120" s="19"/>
    </row>
    <row r="121" spans="1:16" ht="12.75" hidden="1" x14ac:dyDescent="0.2">
      <c r="A121" s="165"/>
      <c r="B121" s="166"/>
      <c r="C121" s="166"/>
      <c r="D121" s="166"/>
      <c r="E121" s="16"/>
      <c r="F121" s="16"/>
      <c r="G121" s="17"/>
      <c r="H121" s="17"/>
      <c r="I121" s="18"/>
      <c r="J121" s="18"/>
      <c r="K121" s="19"/>
      <c r="L121" s="19"/>
      <c r="M121" s="19"/>
      <c r="N121" s="19"/>
      <c r="O121" s="19"/>
      <c r="P121" s="19"/>
    </row>
    <row r="122" spans="1:16" ht="12.75" hidden="1" x14ac:dyDescent="0.2">
      <c r="A122" s="165"/>
      <c r="B122" s="166"/>
      <c r="C122" s="166"/>
      <c r="D122" s="166"/>
      <c r="E122" s="16"/>
      <c r="F122" s="16"/>
      <c r="G122" s="17"/>
      <c r="H122" s="17"/>
      <c r="I122" s="18"/>
      <c r="J122" s="18"/>
      <c r="K122" s="19"/>
      <c r="L122" s="19"/>
      <c r="M122" s="19"/>
      <c r="N122" s="19"/>
      <c r="O122" s="19"/>
      <c r="P122" s="19"/>
    </row>
    <row r="123" spans="1:16" ht="19.5" hidden="1" x14ac:dyDescent="0.3">
      <c r="A123" s="170" t="s">
        <v>49</v>
      </c>
      <c r="B123" s="16"/>
      <c r="C123" s="171"/>
      <c r="D123" s="16"/>
      <c r="E123" s="16"/>
      <c r="F123" s="16"/>
      <c r="G123" s="16"/>
      <c r="H123" s="16"/>
      <c r="I123" s="172"/>
      <c r="J123" s="172"/>
      <c r="K123" s="173"/>
      <c r="L123" s="19"/>
      <c r="M123" s="19"/>
      <c r="N123" s="19"/>
      <c r="O123" s="19"/>
      <c r="P123" s="19"/>
    </row>
    <row r="124" spans="1:16" ht="19.5" hidden="1" x14ac:dyDescent="0.3">
      <c r="A124" s="174"/>
      <c r="B124" s="178" t="s">
        <v>50</v>
      </c>
      <c r="C124" s="171"/>
      <c r="D124" s="166"/>
      <c r="E124" s="16"/>
      <c r="F124" s="16"/>
      <c r="G124" s="17"/>
      <c r="H124" s="17"/>
      <c r="I124" s="176">
        <v>0</v>
      </c>
      <c r="J124" s="176">
        <v>0</v>
      </c>
      <c r="K124" s="177">
        <v>0</v>
      </c>
      <c r="L124" s="19"/>
      <c r="M124" s="19"/>
      <c r="N124" s="19"/>
      <c r="O124" s="19"/>
      <c r="P124" s="19"/>
    </row>
    <row r="125" spans="1:16" ht="19.5" hidden="1" x14ac:dyDescent="0.3">
      <c r="A125" s="174"/>
      <c r="B125" s="16"/>
      <c r="C125" s="178" t="s">
        <v>16</v>
      </c>
      <c r="D125" s="402" t="s">
        <v>17</v>
      </c>
      <c r="E125" s="16"/>
      <c r="F125" s="16"/>
      <c r="G125" s="17"/>
      <c r="H125" s="180" t="s">
        <v>12</v>
      </c>
      <c r="I125" s="18"/>
      <c r="J125" s="18"/>
      <c r="K125" s="19"/>
      <c r="L125" s="181">
        <f ca="1">L126+L127</f>
        <v>0</v>
      </c>
      <c r="M125" s="181">
        <f ca="1">M126+M127</f>
        <v>0</v>
      </c>
      <c r="N125" s="181">
        <f ca="1">N126+N127</f>
        <v>0</v>
      </c>
      <c r="O125" s="181">
        <f ca="1">IF(L125&gt;0,N125*100/L125,0)</f>
        <v>0</v>
      </c>
      <c r="P125" s="181">
        <f ca="1">IF(M125&gt;0,N125*100/M125,0)</f>
        <v>0</v>
      </c>
    </row>
    <row r="126" spans="1:16" ht="18.75" hidden="1" x14ac:dyDescent="0.25">
      <c r="A126" s="174"/>
      <c r="B126" s="16"/>
      <c r="C126" s="16"/>
      <c r="D126" s="16"/>
      <c r="E126" s="182" t="s">
        <v>18</v>
      </c>
      <c r="F126" s="16"/>
      <c r="G126" s="17"/>
      <c r="H126" s="183" t="s">
        <v>12</v>
      </c>
      <c r="I126" s="18"/>
      <c r="J126" s="18"/>
      <c r="K126" s="19"/>
      <c r="L126" s="184">
        <f>L129+L132</f>
        <v>0</v>
      </c>
      <c r="M126" s="184">
        <f>M129+M132</f>
        <v>0</v>
      </c>
      <c r="N126" s="184">
        <f>N129+N132</f>
        <v>0</v>
      </c>
      <c r="O126" s="184">
        <f>IF(L126&gt;0,N126*100/L126,0)</f>
        <v>0</v>
      </c>
      <c r="P126" s="184">
        <f>IF(M126&gt;0,N126*100/M126,0)</f>
        <v>0</v>
      </c>
    </row>
    <row r="127" spans="1:16" ht="18.75" hidden="1" x14ac:dyDescent="0.25">
      <c r="A127" s="174"/>
      <c r="B127" s="16"/>
      <c r="C127" s="16"/>
      <c r="D127" s="16"/>
      <c r="E127" s="185" t="s">
        <v>19</v>
      </c>
      <c r="F127" s="16"/>
      <c r="G127" s="17"/>
      <c r="H127" s="186" t="s">
        <v>12</v>
      </c>
      <c r="I127" s="18"/>
      <c r="J127" s="18"/>
      <c r="K127" s="19"/>
      <c r="L127" s="177">
        <f ca="1">L130+L133</f>
        <v>0</v>
      </c>
      <c r="M127" s="177">
        <f ca="1">M130+M133</f>
        <v>0</v>
      </c>
      <c r="N127" s="177">
        <f ca="1">N130+N133</f>
        <v>0</v>
      </c>
      <c r="O127" s="177">
        <f ca="1">IF(L127&gt;0,N127*100/L127,0)</f>
        <v>0</v>
      </c>
      <c r="P127" s="177">
        <f ca="1">IF(M127&gt;0,N127*100/M127,0)</f>
        <v>0</v>
      </c>
    </row>
    <row r="128" spans="1:16" ht="18.75" hidden="1" x14ac:dyDescent="0.25">
      <c r="A128" s="174"/>
      <c r="B128" s="16"/>
      <c r="C128" s="16"/>
      <c r="D128" s="401" t="s">
        <v>20</v>
      </c>
      <c r="E128" s="16"/>
      <c r="F128" s="16"/>
      <c r="G128" s="17"/>
      <c r="H128" s="188" t="s">
        <v>12</v>
      </c>
      <c r="I128" s="18"/>
      <c r="J128" s="18"/>
      <c r="K128" s="19"/>
      <c r="L128" s="177">
        <f ca="1">L129+L130</f>
        <v>0</v>
      </c>
      <c r="M128" s="177">
        <f ca="1">M129+M130</f>
        <v>0</v>
      </c>
      <c r="N128" s="177">
        <f ca="1">N129+N130</f>
        <v>0</v>
      </c>
      <c r="O128" s="177">
        <f ca="1">IF(L128&gt;0,N128*100/L128,0)</f>
        <v>0</v>
      </c>
      <c r="P128" s="177">
        <f ca="1">IF(M128&gt;0,N128*100/M128,0)</f>
        <v>0</v>
      </c>
    </row>
    <row r="129" spans="1:16" ht="18.75" hidden="1" x14ac:dyDescent="0.25">
      <c r="A129" s="174"/>
      <c r="B129" s="16"/>
      <c r="C129" s="16"/>
      <c r="D129" s="16"/>
      <c r="E129" s="182" t="s">
        <v>34</v>
      </c>
      <c r="F129" s="16"/>
      <c r="G129" s="17"/>
      <c r="H129" s="189" t="s">
        <v>12</v>
      </c>
      <c r="I129" s="18"/>
      <c r="J129" s="18"/>
      <c r="K129" s="19"/>
      <c r="L129" s="184">
        <v>0</v>
      </c>
      <c r="M129" s="184">
        <v>0</v>
      </c>
      <c r="N129" s="184">
        <v>0</v>
      </c>
      <c r="O129" s="184">
        <f>IF(L129&gt;0,N129*100/L129,0)</f>
        <v>0</v>
      </c>
      <c r="P129" s="184">
        <f>IF(M129&gt;0,N129*100/M129,0)</f>
        <v>0</v>
      </c>
    </row>
    <row r="130" spans="1:16" ht="18.75" hidden="1" x14ac:dyDescent="0.25">
      <c r="A130" s="174"/>
      <c r="B130" s="16"/>
      <c r="C130" s="16"/>
      <c r="D130" s="16"/>
      <c r="E130" s="185" t="s">
        <v>35</v>
      </c>
      <c r="F130" s="16"/>
      <c r="G130" s="17"/>
      <c r="H130" s="188" t="s">
        <v>12</v>
      </c>
      <c r="I130" s="18"/>
      <c r="J130" s="18"/>
      <c r="K130" s="19"/>
      <c r="L130" s="177">
        <f ca="1">IFERROR(__xludf.DUMMYFUNCTION("IMPORTRANGE(""https://docs.google.com/spreadsheets/d/1-uDff_7J0KD5mKrp0Vvzr7lt3OU09vwQwhkpOPPYv2Y/edit?usp=sharing"",""งบพรบ!BG17"")"),0)</f>
        <v>0</v>
      </c>
      <c r="M130" s="177">
        <f ca="1">IFERROR(__xludf.DUMMYFUNCTION("IMPORTRANGE(""https://docs.google.com/spreadsheets/d/1-uDff_7J0KD5mKrp0Vvzr7lt3OU09vwQwhkpOPPYv2Y/edit?usp=sharing"",""งบพรบ!BL17"")"),0)</f>
        <v>0</v>
      </c>
      <c r="N130" s="177">
        <f ca="1">IFERROR(__xludf.DUMMYFUNCTION("IMPORTRANGE(""https://docs.google.com/spreadsheets/d/1-uDff_7J0KD5mKrp0Vvzr7lt3OU09vwQwhkpOPPYv2Y/edit?usp=sharing"",""งบพรบ!BN17"")"),0)</f>
        <v>0</v>
      </c>
      <c r="O130" s="177">
        <f ca="1">IF(L130&gt;0,N130*100/L130,0)</f>
        <v>0</v>
      </c>
      <c r="P130" s="177">
        <f ca="1">IF(M130&gt;0,N130*100/M130,0)</f>
        <v>0</v>
      </c>
    </row>
    <row r="131" spans="1:16" ht="18.75" hidden="1" x14ac:dyDescent="0.25">
      <c r="A131" s="174"/>
      <c r="B131" s="16"/>
      <c r="C131" s="16"/>
      <c r="D131" s="401" t="s">
        <v>21</v>
      </c>
      <c r="E131" s="16"/>
      <c r="F131" s="16"/>
      <c r="G131" s="17"/>
      <c r="H131" s="186" t="s">
        <v>12</v>
      </c>
      <c r="I131" s="18"/>
      <c r="J131" s="18"/>
      <c r="K131" s="19"/>
      <c r="L131" s="177">
        <f ca="1">L132+L133</f>
        <v>0</v>
      </c>
      <c r="M131" s="177">
        <f ca="1">M132+M133</f>
        <v>0</v>
      </c>
      <c r="N131" s="177">
        <f ca="1">N132+N133</f>
        <v>0</v>
      </c>
      <c r="O131" s="177">
        <f ca="1">IF(L131&gt;0,N131*100/L131,0)</f>
        <v>0</v>
      </c>
      <c r="P131" s="177">
        <f ca="1">IF(M131&gt;0,N131*100/M131,0)</f>
        <v>0</v>
      </c>
    </row>
    <row r="132" spans="1:16" ht="18.75" hidden="1" x14ac:dyDescent="0.25">
      <c r="A132" s="174"/>
      <c r="B132" s="16"/>
      <c r="C132" s="16"/>
      <c r="D132" s="16"/>
      <c r="E132" s="182" t="s">
        <v>18</v>
      </c>
      <c r="F132" s="16"/>
      <c r="G132" s="17"/>
      <c r="H132" s="189" t="s">
        <v>12</v>
      </c>
      <c r="I132" s="18"/>
      <c r="J132" s="18"/>
      <c r="K132" s="19"/>
      <c r="L132" s="184">
        <v>0</v>
      </c>
      <c r="M132" s="184">
        <v>0</v>
      </c>
      <c r="N132" s="184">
        <v>0</v>
      </c>
      <c r="O132" s="184">
        <f>IF(L132&gt;0,N132*100/L132,0)</f>
        <v>0</v>
      </c>
      <c r="P132" s="184">
        <f>IF(M132&gt;0,N132*100/M132,0)</f>
        <v>0</v>
      </c>
    </row>
    <row r="133" spans="1:16" ht="18.75" hidden="1" x14ac:dyDescent="0.25">
      <c r="A133" s="174"/>
      <c r="B133" s="16"/>
      <c r="C133" s="16"/>
      <c r="D133" s="16"/>
      <c r="E133" s="185" t="s">
        <v>19</v>
      </c>
      <c r="F133" s="16"/>
      <c r="G133" s="17"/>
      <c r="H133" s="186" t="s">
        <v>12</v>
      </c>
      <c r="I133" s="18"/>
      <c r="J133" s="18"/>
      <c r="K133" s="19"/>
      <c r="L133" s="177">
        <f ca="1">IFERROR(__xludf.DUMMYFUNCTION("IMPORTRANGE(""https://docs.google.com/spreadsheets/d/1-uDff_7J0KD5mKrp0Vvzr7lt3OU09vwQwhkpOPPYv2Y/edit?usp=sharing"",""งบพรบ!BJ17"")"),0)</f>
        <v>0</v>
      </c>
      <c r="M133" s="177">
        <f ca="1">IFERROR(__xludf.DUMMYFUNCTION("IMPORTRANGE(""https://docs.google.com/spreadsheets/d/1-uDff_7J0KD5mKrp0Vvzr7lt3OU09vwQwhkpOPPYv2Y/edit?usp=sharing"",""งบพรบ!BM17"")"),0)</f>
        <v>0</v>
      </c>
      <c r="N133" s="177">
        <f ca="1">IFERROR(__xludf.DUMMYFUNCTION("IMPORTRANGE(""https://docs.google.com/spreadsheets/d/1-uDff_7J0KD5mKrp0Vvzr7lt3OU09vwQwhkpOPPYv2Y/edit?usp=sharing"",""งบพรบ!BO17"")"),0)</f>
        <v>0</v>
      </c>
      <c r="O133" s="177">
        <f ca="1">IF(L133&gt;0,N133*100/L133,0)</f>
        <v>0</v>
      </c>
      <c r="P133" s="177">
        <f ca="1">IF(M133&gt;0,N133*100/M133,0)</f>
        <v>0</v>
      </c>
    </row>
    <row r="134" spans="1:16" ht="19.5" x14ac:dyDescent="0.3">
      <c r="A134" s="125" t="s">
        <v>51</v>
      </c>
      <c r="B134" s="126"/>
      <c r="C134" s="190"/>
      <c r="D134" s="126"/>
      <c r="E134" s="126"/>
      <c r="F134" s="126"/>
      <c r="G134" s="126"/>
      <c r="H134" s="126"/>
      <c r="I134" s="191"/>
      <c r="J134" s="191"/>
      <c r="K134" s="192"/>
      <c r="L134" s="130"/>
      <c r="M134" s="130"/>
      <c r="N134" s="130"/>
      <c r="O134" s="130"/>
      <c r="P134" s="130"/>
    </row>
    <row r="135" spans="1:16" ht="19.5" x14ac:dyDescent="0.3">
      <c r="A135" s="131"/>
      <c r="B135" s="132" t="s">
        <v>52</v>
      </c>
      <c r="C135" s="193"/>
      <c r="D135" s="133"/>
      <c r="E135" s="26"/>
      <c r="F135" s="26"/>
      <c r="G135" s="26"/>
      <c r="H135" s="26"/>
      <c r="I135" s="194"/>
      <c r="J135" s="31"/>
      <c r="K135" s="32"/>
      <c r="L135" s="32"/>
      <c r="M135" s="32"/>
      <c r="N135" s="32"/>
      <c r="O135" s="32"/>
      <c r="P135" s="32"/>
    </row>
    <row r="136" spans="1:16" ht="19.5" x14ac:dyDescent="0.3">
      <c r="A136" s="131"/>
      <c r="B136" s="26"/>
      <c r="C136" s="195" t="s">
        <v>53</v>
      </c>
      <c r="D136" s="133"/>
      <c r="E136" s="26"/>
      <c r="F136" s="26"/>
      <c r="G136" s="29"/>
      <c r="H136" s="134" t="s">
        <v>54</v>
      </c>
      <c r="I136" s="135">
        <f ca="1">I154</f>
        <v>0</v>
      </c>
      <c r="J136" s="135">
        <f>J154</f>
        <v>0</v>
      </c>
      <c r="K136" s="33">
        <f ca="1">IF(I136&gt;0,J136*100/I136,0)</f>
        <v>0</v>
      </c>
      <c r="L136" s="32"/>
      <c r="M136" s="32"/>
      <c r="N136" s="32"/>
      <c r="O136" s="32"/>
      <c r="P136" s="32"/>
    </row>
    <row r="137" spans="1:16" ht="19.5" x14ac:dyDescent="0.3">
      <c r="A137" s="131"/>
      <c r="B137" s="26"/>
      <c r="C137" s="195" t="s">
        <v>55</v>
      </c>
      <c r="D137" s="133"/>
      <c r="E137" s="26"/>
      <c r="F137" s="26"/>
      <c r="G137" s="29"/>
      <c r="H137" s="134" t="s">
        <v>33</v>
      </c>
      <c r="I137" s="135">
        <f ca="1">I152</f>
        <v>20</v>
      </c>
      <c r="J137" s="135">
        <f>J152</f>
        <v>0</v>
      </c>
      <c r="K137" s="33">
        <f ca="1">IF(I137&gt;0,J137*100/I137,0)</f>
        <v>0</v>
      </c>
      <c r="L137" s="32"/>
      <c r="M137" s="32"/>
      <c r="N137" s="32"/>
      <c r="O137" s="32"/>
      <c r="P137" s="32"/>
    </row>
    <row r="138" spans="1:16" ht="19.5" x14ac:dyDescent="0.3">
      <c r="A138" s="131"/>
      <c r="B138" s="26"/>
      <c r="C138" s="193"/>
      <c r="D138" s="133"/>
      <c r="E138" s="26"/>
      <c r="F138" s="26"/>
      <c r="G138" s="29"/>
      <c r="H138" s="134" t="s">
        <v>56</v>
      </c>
      <c r="I138" s="135">
        <f ca="1">I153</f>
        <v>2</v>
      </c>
      <c r="J138" s="135">
        <f>J153</f>
        <v>0</v>
      </c>
      <c r="K138" s="33">
        <f ca="1">IF(I138&gt;0,J138*100/I138,0)</f>
        <v>0</v>
      </c>
      <c r="L138" s="32"/>
      <c r="M138" s="32"/>
      <c r="N138" s="32"/>
      <c r="O138" s="32"/>
      <c r="P138" s="32"/>
    </row>
    <row r="139" spans="1:16" ht="19.5" x14ac:dyDescent="0.3">
      <c r="A139" s="136"/>
      <c r="B139" s="41"/>
      <c r="C139" s="197" t="s">
        <v>16</v>
      </c>
      <c r="D139" s="397" t="s">
        <v>17</v>
      </c>
      <c r="E139" s="41"/>
      <c r="F139" s="41"/>
      <c r="G139" s="43"/>
      <c r="H139" s="139" t="s">
        <v>12</v>
      </c>
      <c r="I139" s="45"/>
      <c r="J139" s="45"/>
      <c r="K139" s="46"/>
      <c r="L139" s="140">
        <f ca="1">L140+L141</f>
        <v>115700</v>
      </c>
      <c r="M139" s="140">
        <f ca="1">M140+M141</f>
        <v>87100</v>
      </c>
      <c r="N139" s="140">
        <f ca="1">N140+N141</f>
        <v>48740</v>
      </c>
      <c r="O139" s="140">
        <f ca="1">IF(L139&gt;0,N139*100/L139,0)</f>
        <v>42.126188418323252</v>
      </c>
      <c r="P139" s="140">
        <f ca="1">IF(M139&gt;0,N139*100/M139,0)</f>
        <v>55.958668197474168</v>
      </c>
    </row>
    <row r="140" spans="1:16" ht="18.75" hidden="1" x14ac:dyDescent="0.25">
      <c r="A140" s="136"/>
      <c r="B140" s="41"/>
      <c r="C140" s="41"/>
      <c r="D140" s="41"/>
      <c r="E140" s="279" t="s">
        <v>18</v>
      </c>
      <c r="F140" s="41"/>
      <c r="G140" s="43"/>
      <c r="H140" s="141" t="s">
        <v>12</v>
      </c>
      <c r="I140" s="45"/>
      <c r="J140" s="45"/>
      <c r="K140" s="46"/>
      <c r="L140" s="50">
        <f>L143+L146</f>
        <v>0</v>
      </c>
      <c r="M140" s="50">
        <f>M143+M146</f>
        <v>0</v>
      </c>
      <c r="N140" s="50">
        <f>N143+N146</f>
        <v>0</v>
      </c>
      <c r="O140" s="50">
        <f>IF(L140&gt;0,N140*100/L140,0)</f>
        <v>0</v>
      </c>
      <c r="P140" s="50">
        <f>IF(M140&gt;0,N140*100/M140,0)</f>
        <v>0</v>
      </c>
    </row>
    <row r="141" spans="1:16" ht="18.75" x14ac:dyDescent="0.25">
      <c r="A141" s="136"/>
      <c r="B141" s="41"/>
      <c r="C141" s="41"/>
      <c r="D141" s="41"/>
      <c r="E141" s="254" t="s">
        <v>19</v>
      </c>
      <c r="F141" s="41"/>
      <c r="G141" s="43"/>
      <c r="H141" s="142" t="s">
        <v>12</v>
      </c>
      <c r="I141" s="45"/>
      <c r="J141" s="45"/>
      <c r="K141" s="46"/>
      <c r="L141" s="47">
        <f ca="1">L144+L147</f>
        <v>115700</v>
      </c>
      <c r="M141" s="47">
        <f ca="1">M144+M147</f>
        <v>87100</v>
      </c>
      <c r="N141" s="47">
        <f ca="1">N144+N147</f>
        <v>48740</v>
      </c>
      <c r="O141" s="47">
        <f ca="1">IF(L141&gt;0,N141*100/L141,0)</f>
        <v>42.126188418323252</v>
      </c>
      <c r="P141" s="47">
        <f ca="1">IF(M141&gt;0,N141*100/M141,0)</f>
        <v>55.958668197474168</v>
      </c>
    </row>
    <row r="142" spans="1:16" ht="18.75" x14ac:dyDescent="0.25">
      <c r="A142" s="136"/>
      <c r="B142" s="41"/>
      <c r="C142" s="41"/>
      <c r="D142" s="42" t="s">
        <v>20</v>
      </c>
      <c r="E142" s="41"/>
      <c r="F142" s="41"/>
      <c r="G142" s="43"/>
      <c r="H142" s="143" t="s">
        <v>12</v>
      </c>
      <c r="I142" s="144"/>
      <c r="J142" s="144"/>
      <c r="K142" s="145"/>
      <c r="L142" s="47">
        <f ca="1">L143+L144</f>
        <v>115700</v>
      </c>
      <c r="M142" s="47">
        <f ca="1">M143+M144</f>
        <v>87100</v>
      </c>
      <c r="N142" s="47">
        <f ca="1">N143+N144</f>
        <v>48740</v>
      </c>
      <c r="O142" s="47">
        <f ca="1">IF(L142&gt;0,N142*100/L142,0)</f>
        <v>42.126188418323252</v>
      </c>
      <c r="P142" s="47">
        <f ca="1">IF(M142&gt;0,N142*100/M142,0)</f>
        <v>55.958668197474168</v>
      </c>
    </row>
    <row r="143" spans="1:16" ht="18.75" hidden="1" x14ac:dyDescent="0.25">
      <c r="A143" s="136"/>
      <c r="B143" s="41"/>
      <c r="C143" s="41"/>
      <c r="D143" s="41"/>
      <c r="E143" s="279" t="s">
        <v>34</v>
      </c>
      <c r="F143" s="41"/>
      <c r="G143" s="43"/>
      <c r="H143" s="146" t="s">
        <v>12</v>
      </c>
      <c r="I143" s="144"/>
      <c r="J143" s="144"/>
      <c r="K143" s="145"/>
      <c r="L143" s="50">
        <v>0</v>
      </c>
      <c r="M143" s="50">
        <v>0</v>
      </c>
      <c r="N143" s="50">
        <v>0</v>
      </c>
      <c r="O143" s="50">
        <f>IF(L143&gt;0,N143*100/L143,0)</f>
        <v>0</v>
      </c>
      <c r="P143" s="50">
        <f>IF(M143&gt;0,N143*100/M143,0)</f>
        <v>0</v>
      </c>
    </row>
    <row r="144" spans="1:16" ht="18.75" x14ac:dyDescent="0.25">
      <c r="A144" s="136"/>
      <c r="B144" s="41"/>
      <c r="C144" s="41"/>
      <c r="D144" s="41"/>
      <c r="E144" s="254" t="s">
        <v>35</v>
      </c>
      <c r="F144" s="41"/>
      <c r="G144" s="43"/>
      <c r="H144" s="143" t="s">
        <v>12</v>
      </c>
      <c r="I144" s="144"/>
      <c r="J144" s="144"/>
      <c r="K144" s="145"/>
      <c r="L144" s="47">
        <f ca="1">IFERROR(__xludf.DUMMYFUNCTION("IMPORTRANGE(""https://docs.google.com/spreadsheets/d/1-uDff_7J0KD5mKrp0Vvzr7lt3OU09vwQwhkpOPPYv2Y/edit?usp=sharing"",""งบพรบ!BQ17"")"),115700)</f>
        <v>115700</v>
      </c>
      <c r="M144" s="47">
        <f ca="1">IFERROR(__xludf.DUMMYFUNCTION("IMPORTRANGE(""https://docs.google.com/spreadsheets/d/1-uDff_7J0KD5mKrp0Vvzr7lt3OU09vwQwhkpOPPYv2Y/edit?usp=sharing"",""งบพรบ!BV17"")"),87100)</f>
        <v>87100</v>
      </c>
      <c r="N144" s="47">
        <f ca="1">IFERROR(__xludf.DUMMYFUNCTION("IMPORTRANGE(""https://docs.google.com/spreadsheets/d/1-uDff_7J0KD5mKrp0Vvzr7lt3OU09vwQwhkpOPPYv2Y/edit?usp=sharing"",""งบพรบ!BX17"")"),48740)</f>
        <v>48740</v>
      </c>
      <c r="O144" s="47">
        <f ca="1">IF(L144&gt;0,N144*100/L144,0)</f>
        <v>42.126188418323252</v>
      </c>
      <c r="P144" s="47">
        <f ca="1">IF(M144&gt;0,N144*100/M144,0)</f>
        <v>55.958668197474168</v>
      </c>
    </row>
    <row r="145" spans="1:16" ht="18.75" x14ac:dyDescent="0.25">
      <c r="A145" s="136"/>
      <c r="B145" s="41"/>
      <c r="C145" s="41"/>
      <c r="D145" s="42" t="s">
        <v>21</v>
      </c>
      <c r="E145" s="41"/>
      <c r="F145" s="41"/>
      <c r="G145" s="43"/>
      <c r="H145" s="147" t="s">
        <v>12</v>
      </c>
      <c r="I145" s="144"/>
      <c r="J145" s="144"/>
      <c r="K145" s="145"/>
      <c r="L145" s="47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</row>
    <row r="146" spans="1:16" ht="18.75" hidden="1" x14ac:dyDescent="0.25">
      <c r="A146" s="136"/>
      <c r="B146" s="41"/>
      <c r="C146" s="41"/>
      <c r="D146" s="41"/>
      <c r="E146" s="279" t="s">
        <v>18</v>
      </c>
      <c r="F146" s="41"/>
      <c r="G146" s="43"/>
      <c r="H146" s="146" t="s">
        <v>12</v>
      </c>
      <c r="I146" s="144"/>
      <c r="J146" s="144"/>
      <c r="K146" s="145"/>
      <c r="L146" s="50">
        <v>0</v>
      </c>
      <c r="M146" s="50">
        <v>0</v>
      </c>
      <c r="N146" s="50">
        <v>0</v>
      </c>
      <c r="O146" s="50">
        <f>IF(L146&gt;0,N146*100/L146,0)</f>
        <v>0</v>
      </c>
      <c r="P146" s="50">
        <f>IF(M146&gt;0,N146*100/M146,0)</f>
        <v>0</v>
      </c>
    </row>
    <row r="147" spans="1:16" ht="18.75" x14ac:dyDescent="0.25">
      <c r="A147" s="136"/>
      <c r="B147" s="41"/>
      <c r="C147" s="41"/>
      <c r="D147" s="41"/>
      <c r="E147" s="254" t="s">
        <v>19</v>
      </c>
      <c r="F147" s="41"/>
      <c r="G147" s="43"/>
      <c r="H147" s="147" t="s">
        <v>12</v>
      </c>
      <c r="I147" s="144"/>
      <c r="J147" s="144"/>
      <c r="K147" s="145"/>
      <c r="L147" s="47">
        <f ca="1">IFERROR(__xludf.DUMMYFUNCTION("IMPORTRANGE(""https://docs.google.com/spreadsheets/d/1-uDff_7J0KD5mKrp0Vvzr7lt3OU09vwQwhkpOPPYv2Y/edit?usp=sharing"",""งบพรบ!BT17"")"),0)</f>
        <v>0</v>
      </c>
      <c r="M147" s="47">
        <f ca="1">IFERROR(__xludf.DUMMYFUNCTION("IMPORTRANGE(""https://docs.google.com/spreadsheets/d/1-uDff_7J0KD5mKrp0Vvzr7lt3OU09vwQwhkpOPPYv2Y/edit?usp=sharing"",""งบพรบ!BW17"")"),0)</f>
        <v>0</v>
      </c>
      <c r="N147" s="47">
        <f ca="1">IFERROR(__xludf.DUMMYFUNCTION("IMPORTRANGE(""https://docs.google.com/spreadsheets/d/1-uDff_7J0KD5mKrp0Vvzr7lt3OU09vwQwhkpOPPYv2Y/edit?usp=sharing"",""งบพรบ!BY17"")"),0)</f>
        <v>0</v>
      </c>
      <c r="O147" s="47">
        <f ca="1">IF(L147&gt;0,N147*100/L147,0)</f>
        <v>0</v>
      </c>
      <c r="P147" s="47">
        <f ca="1">IF(M147&gt;0,N147*100/M147,0)</f>
        <v>0</v>
      </c>
    </row>
    <row r="148" spans="1:16" ht="19.5" x14ac:dyDescent="0.3">
      <c r="A148" s="148"/>
      <c r="B148" s="149"/>
      <c r="C148" s="197" t="s">
        <v>16</v>
      </c>
      <c r="D148" s="395" t="s">
        <v>36</v>
      </c>
      <c r="E148" s="151"/>
      <c r="F148" s="151"/>
      <c r="G148" s="152"/>
      <c r="H148" s="196"/>
      <c r="I148" s="45"/>
      <c r="J148" s="45"/>
      <c r="K148" s="46"/>
      <c r="L148" s="46"/>
      <c r="M148" s="46"/>
      <c r="N148" s="46"/>
      <c r="O148" s="46"/>
      <c r="P148" s="46"/>
    </row>
    <row r="149" spans="1:16" ht="18.75" x14ac:dyDescent="0.25">
      <c r="A149" s="136"/>
      <c r="B149" s="41"/>
      <c r="C149" s="41"/>
      <c r="D149" s="254" t="s">
        <v>57</v>
      </c>
      <c r="E149" s="41"/>
      <c r="F149" s="41"/>
      <c r="G149" s="43"/>
      <c r="H149" s="196"/>
      <c r="I149" s="45"/>
      <c r="J149" s="250">
        <v>0</v>
      </c>
      <c r="K149" s="46"/>
      <c r="L149" s="46"/>
      <c r="M149" s="46"/>
      <c r="N149" s="46"/>
      <c r="O149" s="46"/>
      <c r="P149" s="46"/>
    </row>
    <row r="150" spans="1:16" ht="19.5" x14ac:dyDescent="0.3">
      <c r="A150" s="136"/>
      <c r="B150" s="41"/>
      <c r="C150" s="41"/>
      <c r="D150" s="155"/>
      <c r="E150" s="197" t="s">
        <v>58</v>
      </c>
      <c r="F150" s="41"/>
      <c r="G150" s="43"/>
      <c r="H150" s="147" t="s">
        <v>33</v>
      </c>
      <c r="I150" s="169">
        <f ca="1">IFERROR(__xludf.DUMMYFUNCTION("IMPORTRANGE(""https://docs.google.com/spreadsheets/d/1eHaY18a8A9IcSdp1K8H6x8fbOy06t2VsZHhMHf-1x7Y/edit?usp=sharing"",""แผน!U17"")"),0)</f>
        <v>0</v>
      </c>
      <c r="J150" s="250">
        <v>0</v>
      </c>
      <c r="K150" s="47">
        <f ca="1">IF(I150&gt;0,J150*100/I150,0)</f>
        <v>0</v>
      </c>
      <c r="L150" s="46"/>
      <c r="M150" s="46"/>
      <c r="N150" s="46"/>
      <c r="O150" s="46"/>
      <c r="P150" s="46"/>
    </row>
    <row r="151" spans="1:16" ht="18.75" x14ac:dyDescent="0.25">
      <c r="A151" s="136"/>
      <c r="B151" s="41"/>
      <c r="C151" s="41"/>
      <c r="D151" s="155"/>
      <c r="E151" s="41"/>
      <c r="F151" s="41"/>
      <c r="G151" s="43"/>
      <c r="H151" s="147" t="s">
        <v>56</v>
      </c>
      <c r="I151" s="169">
        <f ca="1">IFERROR(__xludf.DUMMYFUNCTION("IMPORTRANGE(""https://docs.google.com/spreadsheets/d/1eHaY18a8A9IcSdp1K8H6x8fbOy06t2VsZHhMHf-1x7Y/edit?usp=sharing"",""แผน!V17"")"),0)</f>
        <v>0</v>
      </c>
      <c r="J151" s="250">
        <v>0</v>
      </c>
      <c r="K151" s="47">
        <f ca="1">IF(I151&gt;0,J151*100/I151,0)</f>
        <v>0</v>
      </c>
      <c r="L151" s="46"/>
      <c r="M151" s="46"/>
      <c r="N151" s="46"/>
      <c r="O151" s="46"/>
      <c r="P151" s="46"/>
    </row>
    <row r="152" spans="1:16" ht="19.5" x14ac:dyDescent="0.3">
      <c r="A152" s="136"/>
      <c r="B152" s="41"/>
      <c r="C152" s="41"/>
      <c r="D152" s="155"/>
      <c r="E152" s="197" t="s">
        <v>59</v>
      </c>
      <c r="F152" s="41"/>
      <c r="G152" s="43"/>
      <c r="H152" s="147" t="s">
        <v>33</v>
      </c>
      <c r="I152" s="169">
        <f ca="1">IFERROR(__xludf.DUMMYFUNCTION("IMPORTRANGE(""https://docs.google.com/spreadsheets/d/1eHaY18a8A9IcSdp1K8H6x8fbOy06t2VsZHhMHf-1x7Y/edit?usp=sharing"",""แผน!W17"")"),20)</f>
        <v>20</v>
      </c>
      <c r="J152" s="250">
        <v>0</v>
      </c>
      <c r="K152" s="47">
        <f ca="1">IF(I152&gt;0,J152*100/I152,0)</f>
        <v>0</v>
      </c>
      <c r="L152" s="46"/>
      <c r="M152" s="46"/>
      <c r="N152" s="46"/>
      <c r="O152" s="46"/>
      <c r="P152" s="46"/>
    </row>
    <row r="153" spans="1:16" ht="18.75" x14ac:dyDescent="0.25">
      <c r="A153" s="136"/>
      <c r="B153" s="41"/>
      <c r="C153" s="41"/>
      <c r="D153" s="41"/>
      <c r="E153" s="41"/>
      <c r="F153" s="41"/>
      <c r="G153" s="43"/>
      <c r="H153" s="147" t="s">
        <v>56</v>
      </c>
      <c r="I153" s="169">
        <f ca="1">IFERROR(__xludf.DUMMYFUNCTION("IMPORTRANGE(""https://docs.google.com/spreadsheets/d/1eHaY18a8A9IcSdp1K8H6x8fbOy06t2VsZHhMHf-1x7Y/edit?usp=sharing"",""แผน!X17"")"),2)</f>
        <v>2</v>
      </c>
      <c r="J153" s="250">
        <v>0</v>
      </c>
      <c r="K153" s="47">
        <f ca="1">IF(I153&gt;0,J153*100/I153,0)</f>
        <v>0</v>
      </c>
      <c r="L153" s="46"/>
      <c r="M153" s="46"/>
      <c r="N153" s="46"/>
      <c r="O153" s="46"/>
      <c r="P153" s="46"/>
    </row>
    <row r="154" spans="1:16" ht="18.75" x14ac:dyDescent="0.25">
      <c r="A154" s="136"/>
      <c r="B154" s="41"/>
      <c r="C154" s="41"/>
      <c r="D154" s="254" t="s">
        <v>60</v>
      </c>
      <c r="E154" s="41"/>
      <c r="F154" s="41"/>
      <c r="G154" s="43"/>
      <c r="H154" s="147" t="s">
        <v>54</v>
      </c>
      <c r="I154" s="169">
        <f ca="1">IFERROR(__xludf.DUMMYFUNCTION("IMPORTRANGE(""https://docs.google.com/spreadsheets/d/1eHaY18a8A9IcSdp1K8H6x8fbOy06t2VsZHhMHf-1x7Y/edit?usp=sharing"",""แผน!Y17"")"),0)</f>
        <v>0</v>
      </c>
      <c r="J154" s="250">
        <v>0</v>
      </c>
      <c r="K154" s="47">
        <f ca="1">IF(I154&gt;0,J154*100/I154,0)</f>
        <v>0</v>
      </c>
      <c r="L154" s="46"/>
      <c r="M154" s="46"/>
      <c r="N154" s="46"/>
      <c r="O154" s="46"/>
      <c r="P154" s="46"/>
    </row>
    <row r="155" spans="1:16" ht="19.5" x14ac:dyDescent="0.3">
      <c r="A155" s="125" t="s">
        <v>61</v>
      </c>
      <c r="B155" s="126"/>
      <c r="C155" s="190"/>
      <c r="D155" s="126"/>
      <c r="E155" s="126"/>
      <c r="F155" s="126"/>
      <c r="G155" s="126"/>
      <c r="H155" s="126"/>
      <c r="I155" s="191"/>
      <c r="J155" s="191"/>
      <c r="K155" s="192"/>
      <c r="L155" s="130"/>
      <c r="M155" s="130"/>
      <c r="N155" s="130"/>
      <c r="O155" s="130"/>
      <c r="P155" s="130"/>
    </row>
    <row r="156" spans="1:16" ht="19.5" x14ac:dyDescent="0.3">
      <c r="A156" s="131"/>
      <c r="B156" s="132" t="s">
        <v>62</v>
      </c>
      <c r="C156" s="26"/>
      <c r="D156" s="26"/>
      <c r="E156" s="26"/>
      <c r="F156" s="26"/>
      <c r="G156" s="29"/>
      <c r="H156" s="198" t="s">
        <v>33</v>
      </c>
      <c r="I156" s="135">
        <f ca="1">I167</f>
        <v>10</v>
      </c>
      <c r="J156" s="135">
        <f>J167</f>
        <v>0</v>
      </c>
      <c r="K156" s="33">
        <f ca="1">IF(I156&gt;0,J156*100/I156,0)</f>
        <v>0</v>
      </c>
      <c r="L156" s="32"/>
      <c r="M156" s="32"/>
      <c r="N156" s="32"/>
      <c r="O156" s="32"/>
      <c r="P156" s="32"/>
    </row>
    <row r="157" spans="1:16" ht="19.5" x14ac:dyDescent="0.3">
      <c r="A157" s="136"/>
      <c r="B157" s="41"/>
      <c r="C157" s="197" t="s">
        <v>16</v>
      </c>
      <c r="D157" s="397" t="s">
        <v>17</v>
      </c>
      <c r="E157" s="41"/>
      <c r="F157" s="41"/>
      <c r="G157" s="43"/>
      <c r="H157" s="139" t="s">
        <v>12</v>
      </c>
      <c r="I157" s="45"/>
      <c r="J157" s="45"/>
      <c r="K157" s="46"/>
      <c r="L157" s="140">
        <f ca="1">L158+L159</f>
        <v>3000</v>
      </c>
      <c r="M157" s="140">
        <f ca="1">M158+M159</f>
        <v>0</v>
      </c>
      <c r="N157" s="140">
        <f ca="1">N158+N159</f>
        <v>0</v>
      </c>
      <c r="O157" s="140">
        <f ca="1">IF(L157&gt;0,N157*100/L157,0)</f>
        <v>0</v>
      </c>
      <c r="P157" s="140">
        <f ca="1">IF(M157&gt;0,N157*100/M157,0)</f>
        <v>0</v>
      </c>
    </row>
    <row r="158" spans="1:16" ht="18.75" hidden="1" x14ac:dyDescent="0.25">
      <c r="A158" s="136"/>
      <c r="B158" s="41"/>
      <c r="C158" s="41"/>
      <c r="D158" s="41"/>
      <c r="E158" s="279" t="s">
        <v>18</v>
      </c>
      <c r="F158" s="41"/>
      <c r="G158" s="43"/>
      <c r="H158" s="141" t="s">
        <v>12</v>
      </c>
      <c r="I158" s="45"/>
      <c r="J158" s="45"/>
      <c r="K158" s="46"/>
      <c r="L158" s="50">
        <f>L161+L164</f>
        <v>0</v>
      </c>
      <c r="M158" s="50">
        <f>M161+M164</f>
        <v>0</v>
      </c>
      <c r="N158" s="50">
        <f>N161+N164</f>
        <v>0</v>
      </c>
      <c r="O158" s="50">
        <f>IF(L158&gt;0,N158*100/L158,0)</f>
        <v>0</v>
      </c>
      <c r="P158" s="50">
        <f>IF(M158&gt;0,N158*100/M158,0)</f>
        <v>0</v>
      </c>
    </row>
    <row r="159" spans="1:16" ht="18.75" x14ac:dyDescent="0.25">
      <c r="A159" s="136"/>
      <c r="B159" s="41"/>
      <c r="C159" s="41"/>
      <c r="D159" s="41"/>
      <c r="E159" s="254" t="s">
        <v>19</v>
      </c>
      <c r="F159" s="41"/>
      <c r="G159" s="43"/>
      <c r="H159" s="142" t="s">
        <v>12</v>
      </c>
      <c r="I159" s="45"/>
      <c r="J159" s="45"/>
      <c r="K159" s="46"/>
      <c r="L159" s="47">
        <f ca="1">L162+L165</f>
        <v>3000</v>
      </c>
      <c r="M159" s="47">
        <f ca="1">M162+M165</f>
        <v>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</row>
    <row r="160" spans="1:16" ht="18.75" x14ac:dyDescent="0.25">
      <c r="A160" s="136"/>
      <c r="B160" s="41"/>
      <c r="C160" s="41"/>
      <c r="D160" s="42" t="s">
        <v>20</v>
      </c>
      <c r="E160" s="41"/>
      <c r="F160" s="41"/>
      <c r="G160" s="43"/>
      <c r="H160" s="143" t="s">
        <v>12</v>
      </c>
      <c r="I160" s="144"/>
      <c r="J160" s="144"/>
      <c r="K160" s="145"/>
      <c r="L160" s="47">
        <f ca="1">L161+L162</f>
        <v>3000</v>
      </c>
      <c r="M160" s="47">
        <f ca="1">M161+M162</f>
        <v>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</row>
    <row r="161" spans="1:16" ht="18.75" hidden="1" x14ac:dyDescent="0.25">
      <c r="A161" s="136"/>
      <c r="B161" s="41"/>
      <c r="C161" s="41"/>
      <c r="D161" s="41"/>
      <c r="E161" s="279" t="s">
        <v>34</v>
      </c>
      <c r="F161" s="41"/>
      <c r="G161" s="43"/>
      <c r="H161" s="146" t="s">
        <v>12</v>
      </c>
      <c r="I161" s="144"/>
      <c r="J161" s="144"/>
      <c r="K161" s="145"/>
      <c r="L161" s="50">
        <v>0</v>
      </c>
      <c r="M161" s="50">
        <v>0</v>
      </c>
      <c r="N161" s="50">
        <v>0</v>
      </c>
      <c r="O161" s="50">
        <f>IF(L161&gt;0,N161*100/L161,0)</f>
        <v>0</v>
      </c>
      <c r="P161" s="50">
        <f>IF(M161&gt;0,N161*100/M161,0)</f>
        <v>0</v>
      </c>
    </row>
    <row r="162" spans="1:16" ht="18.75" x14ac:dyDescent="0.25">
      <c r="A162" s="136"/>
      <c r="B162" s="41"/>
      <c r="C162" s="41"/>
      <c r="D162" s="41"/>
      <c r="E162" s="254" t="s">
        <v>35</v>
      </c>
      <c r="F162" s="41"/>
      <c r="G162" s="43"/>
      <c r="H162" s="143" t="s">
        <v>12</v>
      </c>
      <c r="I162" s="144"/>
      <c r="J162" s="144"/>
      <c r="K162" s="145"/>
      <c r="L162" s="47">
        <f ca="1">IFERROR(__xludf.DUMMYFUNCTION("IMPORTRANGE(""https://docs.google.com/spreadsheets/d/1-uDff_7J0KD5mKrp0Vvzr7lt3OU09vwQwhkpOPPYv2Y/edit?usp=sharing"",""งบพรบ!CA17"")"),3000)</f>
        <v>3000</v>
      </c>
      <c r="M162" s="47">
        <f ca="1">IFERROR(__xludf.DUMMYFUNCTION("IMPORTRANGE(""https://docs.google.com/spreadsheets/d/1-uDff_7J0KD5mKrp0Vvzr7lt3OU09vwQwhkpOPPYv2Y/edit?usp=sharing"",""งบพรบ!CF17"")"),0)</f>
        <v>0</v>
      </c>
      <c r="N162" s="47">
        <f ca="1">IFERROR(__xludf.DUMMYFUNCTION("IMPORTRANGE(""https://docs.google.com/spreadsheets/d/1-uDff_7J0KD5mKrp0Vvzr7lt3OU09vwQwhkpOPPYv2Y/edit?usp=sharing"",""งบพรบ!CH17"")"),0)</f>
        <v>0</v>
      </c>
      <c r="O162" s="47">
        <f ca="1">IF(L162&gt;0,N162*100/L162,0)</f>
        <v>0</v>
      </c>
      <c r="P162" s="47">
        <f ca="1">IF(M162&gt;0,N162*100/M162,0)</f>
        <v>0</v>
      </c>
    </row>
    <row r="163" spans="1:16" ht="18.75" x14ac:dyDescent="0.25">
      <c r="A163" s="136"/>
      <c r="B163" s="41"/>
      <c r="C163" s="41"/>
      <c r="D163" s="42" t="s">
        <v>21</v>
      </c>
      <c r="E163" s="41"/>
      <c r="F163" s="41"/>
      <c r="G163" s="43"/>
      <c r="H163" s="147" t="s">
        <v>12</v>
      </c>
      <c r="I163" s="144"/>
      <c r="J163" s="144"/>
      <c r="K163" s="145"/>
      <c r="L163" s="47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</row>
    <row r="164" spans="1:16" ht="18.75" hidden="1" x14ac:dyDescent="0.25">
      <c r="A164" s="136"/>
      <c r="B164" s="41"/>
      <c r="C164" s="41"/>
      <c r="D164" s="41"/>
      <c r="E164" s="279" t="s">
        <v>18</v>
      </c>
      <c r="F164" s="41"/>
      <c r="G164" s="43"/>
      <c r="H164" s="146" t="s">
        <v>12</v>
      </c>
      <c r="I164" s="144"/>
      <c r="J164" s="144"/>
      <c r="K164" s="145"/>
      <c r="L164" s="50">
        <v>0</v>
      </c>
      <c r="M164" s="50">
        <v>0</v>
      </c>
      <c r="N164" s="50">
        <v>0</v>
      </c>
      <c r="O164" s="50">
        <f>IF(L164&gt;0,N164*100/L164,0)</f>
        <v>0</v>
      </c>
      <c r="P164" s="50">
        <f>IF(M164&gt;0,N164*100/M164,0)</f>
        <v>0</v>
      </c>
    </row>
    <row r="165" spans="1:16" ht="18.75" x14ac:dyDescent="0.25">
      <c r="A165" s="136"/>
      <c r="B165" s="41"/>
      <c r="C165" s="41"/>
      <c r="D165" s="41"/>
      <c r="E165" s="254" t="s">
        <v>19</v>
      </c>
      <c r="F165" s="41"/>
      <c r="G165" s="43"/>
      <c r="H165" s="147" t="s">
        <v>12</v>
      </c>
      <c r="I165" s="144"/>
      <c r="J165" s="144"/>
      <c r="K165" s="145"/>
      <c r="L165" s="47">
        <f ca="1">IFERROR(__xludf.DUMMYFUNCTION("IMPORTRANGE(""https://docs.google.com/spreadsheets/d/1-uDff_7J0KD5mKrp0Vvzr7lt3OU09vwQwhkpOPPYv2Y/edit?usp=sharing"",""งบพรบ!CD17"")"),0)</f>
        <v>0</v>
      </c>
      <c r="M165" s="47">
        <f ca="1">IFERROR(__xludf.DUMMYFUNCTION("IMPORTRANGE(""https://docs.google.com/spreadsheets/d/1-uDff_7J0KD5mKrp0Vvzr7lt3OU09vwQwhkpOPPYv2Y/edit?usp=sharing"",""งบพรบ!CG17"")"),0)</f>
        <v>0</v>
      </c>
      <c r="N165" s="47">
        <f ca="1">IFERROR(__xludf.DUMMYFUNCTION("IMPORTRANGE(""https://docs.google.com/spreadsheets/d/1-uDff_7J0KD5mKrp0Vvzr7lt3OU09vwQwhkpOPPYv2Y/edit?usp=sharing"",""งบพรบ!CI17"")"),0)</f>
        <v>0</v>
      </c>
      <c r="O165" s="47">
        <f ca="1">IF(L165&gt;0,N165*100/L165,0)</f>
        <v>0</v>
      </c>
      <c r="P165" s="47">
        <f ca="1">IF(M165&gt;0,N165*100/M165,0)</f>
        <v>0</v>
      </c>
    </row>
    <row r="166" spans="1:16" ht="19.5" x14ac:dyDescent="0.3">
      <c r="A166" s="148"/>
      <c r="B166" s="149"/>
      <c r="C166" s="197" t="s">
        <v>16</v>
      </c>
      <c r="D166" s="395" t="s">
        <v>36</v>
      </c>
      <c r="E166" s="151"/>
      <c r="F166" s="151"/>
      <c r="G166" s="152"/>
      <c r="H166" s="196"/>
      <c r="I166" s="45"/>
      <c r="J166" s="45"/>
      <c r="K166" s="46"/>
      <c r="L166" s="46"/>
      <c r="M166" s="46"/>
      <c r="N166" s="46"/>
      <c r="O166" s="46"/>
      <c r="P166" s="46"/>
    </row>
    <row r="167" spans="1:16" ht="18.75" x14ac:dyDescent="0.25">
      <c r="A167" s="136"/>
      <c r="B167" s="41"/>
      <c r="C167" s="41"/>
      <c r="D167" s="254" t="s">
        <v>63</v>
      </c>
      <c r="E167" s="41"/>
      <c r="F167" s="41"/>
      <c r="G167" s="43"/>
      <c r="H167" s="147" t="s">
        <v>33</v>
      </c>
      <c r="I167" s="169">
        <f ca="1">IFERROR(__xludf.DUMMYFUNCTION("IMPORTRANGE(""https://docs.google.com/spreadsheets/d/1eHaY18a8A9IcSdp1K8H6x8fbOy06t2VsZHhMHf-1x7Y/edit?usp=sharing"",""แผน!Z17"")"),10)</f>
        <v>10</v>
      </c>
      <c r="J167" s="250">
        <v>0</v>
      </c>
      <c r="K167" s="47">
        <f ca="1">IF(I167&gt;0,J167*100/I167,0)</f>
        <v>0</v>
      </c>
      <c r="L167" s="46"/>
      <c r="M167" s="46"/>
      <c r="N167" s="46"/>
      <c r="O167" s="46"/>
      <c r="P167" s="46"/>
    </row>
    <row r="168" spans="1:16" ht="18.75" hidden="1" x14ac:dyDescent="0.25">
      <c r="A168" s="136"/>
      <c r="B168" s="41"/>
      <c r="C168" s="41"/>
      <c r="D168" s="279" t="s">
        <v>64</v>
      </c>
      <c r="E168" s="41"/>
      <c r="F168" s="41"/>
      <c r="G168" s="43"/>
      <c r="H168" s="199" t="s">
        <v>33</v>
      </c>
      <c r="I168" s="200">
        <f ca="1">I167</f>
        <v>10</v>
      </c>
      <c r="J168" s="201">
        <v>0</v>
      </c>
      <c r="K168" s="50">
        <f ca="1">IF(I168&gt;0,J168*100/I168,0)</f>
        <v>0</v>
      </c>
      <c r="L168" s="46"/>
      <c r="M168" s="46"/>
      <c r="N168" s="46"/>
      <c r="O168" s="46"/>
      <c r="P168" s="46"/>
    </row>
    <row r="169" spans="1:16" ht="18.75" hidden="1" x14ac:dyDescent="0.25">
      <c r="A169" s="202"/>
      <c r="B169" s="1"/>
      <c r="C169" s="1"/>
      <c r="D169" s="203" t="s">
        <v>65</v>
      </c>
      <c r="E169" s="1"/>
      <c r="F169" s="1"/>
      <c r="G169" s="54"/>
      <c r="H169" s="204" t="s">
        <v>33</v>
      </c>
      <c r="I169" s="205">
        <f ca="1">I167</f>
        <v>10</v>
      </c>
      <c r="J169" s="206">
        <v>0</v>
      </c>
      <c r="K169" s="207">
        <f ca="1">IF(I169&gt;0,J169*100/I169,0)</f>
        <v>0</v>
      </c>
      <c r="L169" s="57"/>
      <c r="M169" s="57"/>
      <c r="N169" s="57"/>
      <c r="O169" s="57"/>
      <c r="P169" s="57"/>
    </row>
    <row r="170" spans="1:16" ht="19.5" x14ac:dyDescent="0.3">
      <c r="A170" s="208" t="s">
        <v>66</v>
      </c>
      <c r="B170" s="209"/>
      <c r="C170" s="209"/>
      <c r="D170" s="209"/>
      <c r="E170" s="210"/>
      <c r="F170" s="210"/>
      <c r="G170" s="210"/>
      <c r="H170" s="210"/>
      <c r="I170" s="211"/>
      <c r="J170" s="211"/>
      <c r="K170" s="212"/>
      <c r="L170" s="212"/>
      <c r="M170" s="212"/>
      <c r="N170" s="212"/>
      <c r="O170" s="212"/>
      <c r="P170" s="213"/>
    </row>
    <row r="171" spans="1:16" ht="19.5" x14ac:dyDescent="0.3">
      <c r="A171" s="214" t="s">
        <v>67</v>
      </c>
      <c r="B171" s="215"/>
      <c r="C171" s="215"/>
      <c r="D171" s="216"/>
      <c r="E171" s="216"/>
      <c r="F171" s="216"/>
      <c r="G171" s="216"/>
      <c r="H171" s="217"/>
      <c r="I171" s="218"/>
      <c r="J171" s="218"/>
      <c r="K171" s="219"/>
      <c r="L171" s="219"/>
      <c r="M171" s="219"/>
      <c r="N171" s="219"/>
      <c r="O171" s="219"/>
      <c r="P171" s="219"/>
    </row>
    <row r="172" spans="1:16" ht="19.5" x14ac:dyDescent="0.3">
      <c r="A172" s="220"/>
      <c r="B172" s="221" t="s">
        <v>68</v>
      </c>
      <c r="C172" s="222"/>
      <c r="D172" s="151"/>
      <c r="E172" s="151"/>
      <c r="F172" s="151"/>
      <c r="G172" s="152"/>
      <c r="H172" s="223" t="s">
        <v>33</v>
      </c>
      <c r="I172" s="224">
        <f ca="1">I183+I184</f>
        <v>7</v>
      </c>
      <c r="J172" s="224">
        <f>J183+J184</f>
        <v>7</v>
      </c>
      <c r="K172" s="225">
        <f ca="1">IF(I172&gt;0,J172*100/I172,0)</f>
        <v>100</v>
      </c>
      <c r="L172" s="226"/>
      <c r="M172" s="226"/>
      <c r="N172" s="226"/>
      <c r="O172" s="226"/>
      <c r="P172" s="226"/>
    </row>
    <row r="173" spans="1:16" ht="19.5" x14ac:dyDescent="0.3">
      <c r="A173" s="136"/>
      <c r="B173" s="41"/>
      <c r="C173" s="197" t="s">
        <v>16</v>
      </c>
      <c r="D173" s="397" t="s">
        <v>17</v>
      </c>
      <c r="E173" s="41"/>
      <c r="F173" s="41"/>
      <c r="G173" s="43"/>
      <c r="H173" s="139" t="s">
        <v>12</v>
      </c>
      <c r="I173" s="45"/>
      <c r="J173" s="45"/>
      <c r="K173" s="46"/>
      <c r="L173" s="140">
        <f ca="1">L174+L175</f>
        <v>19590</v>
      </c>
      <c r="M173" s="140">
        <f ca="1">M174+M175</f>
        <v>19590</v>
      </c>
      <c r="N173" s="140">
        <f ca="1">N174+N175</f>
        <v>19590</v>
      </c>
      <c r="O173" s="140">
        <f ca="1">IF(L173&gt;0,N173*100/L173,0)</f>
        <v>100</v>
      </c>
      <c r="P173" s="140">
        <f ca="1">IF(M173&gt;0,N173*100/M173,0)</f>
        <v>100</v>
      </c>
    </row>
    <row r="174" spans="1:16" ht="18.75" hidden="1" x14ac:dyDescent="0.25">
      <c r="A174" s="136"/>
      <c r="B174" s="41"/>
      <c r="C174" s="41"/>
      <c r="D174" s="41"/>
      <c r="E174" s="279" t="s">
        <v>18</v>
      </c>
      <c r="F174" s="41"/>
      <c r="G174" s="43"/>
      <c r="H174" s="141" t="s">
        <v>12</v>
      </c>
      <c r="I174" s="45"/>
      <c r="J174" s="45"/>
      <c r="K174" s="46"/>
      <c r="L174" s="50">
        <f>L177+L180</f>
        <v>0</v>
      </c>
      <c r="M174" s="50">
        <f>M177+M180</f>
        <v>0</v>
      </c>
      <c r="N174" s="50">
        <f>N177+N180</f>
        <v>0</v>
      </c>
      <c r="O174" s="50">
        <f>IF(L174&gt;0,N174*100/L174,0)</f>
        <v>0</v>
      </c>
      <c r="P174" s="50">
        <f>IF(M174&gt;0,N174*100/M174,0)</f>
        <v>0</v>
      </c>
    </row>
    <row r="175" spans="1:16" ht="18.75" x14ac:dyDescent="0.25">
      <c r="A175" s="136"/>
      <c r="B175" s="41"/>
      <c r="C175" s="41"/>
      <c r="D175" s="41"/>
      <c r="E175" s="254" t="s">
        <v>19</v>
      </c>
      <c r="F175" s="41"/>
      <c r="G175" s="43"/>
      <c r="H175" s="142" t="s">
        <v>12</v>
      </c>
      <c r="I175" s="45"/>
      <c r="J175" s="45"/>
      <c r="K175" s="46"/>
      <c r="L175" s="47">
        <f ca="1">L178+L181</f>
        <v>19590</v>
      </c>
      <c r="M175" s="47">
        <f ca="1">M178+M181</f>
        <v>19590</v>
      </c>
      <c r="N175" s="47">
        <f ca="1">N178+N181</f>
        <v>19590</v>
      </c>
      <c r="O175" s="47">
        <f ca="1">IF(L175&gt;0,N175*100/L175,0)</f>
        <v>100</v>
      </c>
      <c r="P175" s="47">
        <f ca="1">IF(M175&gt;0,N175*100/M175,0)</f>
        <v>100</v>
      </c>
    </row>
    <row r="176" spans="1:16" ht="18.75" x14ac:dyDescent="0.25">
      <c r="A176" s="136"/>
      <c r="B176" s="41"/>
      <c r="C176" s="41"/>
      <c r="D176" s="42" t="s">
        <v>20</v>
      </c>
      <c r="E176" s="41"/>
      <c r="F176" s="41"/>
      <c r="G176" s="43"/>
      <c r="H176" s="143" t="s">
        <v>12</v>
      </c>
      <c r="I176" s="144"/>
      <c r="J176" s="144"/>
      <c r="K176" s="145"/>
      <c r="L176" s="47">
        <f ca="1">L177+L178</f>
        <v>19590</v>
      </c>
      <c r="M176" s="47">
        <f ca="1">M177+M178</f>
        <v>19590</v>
      </c>
      <c r="N176" s="47">
        <f ca="1">N177+N178</f>
        <v>19590</v>
      </c>
      <c r="O176" s="47">
        <f ca="1">IF(L176&gt;0,N176*100/L176,0)</f>
        <v>100</v>
      </c>
      <c r="P176" s="47">
        <f ca="1">IF(M176&gt;0,N176*100/M176,0)</f>
        <v>100</v>
      </c>
    </row>
    <row r="177" spans="1:16" ht="18.75" hidden="1" x14ac:dyDescent="0.25">
      <c r="A177" s="136"/>
      <c r="B177" s="41"/>
      <c r="C177" s="41"/>
      <c r="D177" s="41"/>
      <c r="E177" s="279" t="s">
        <v>34</v>
      </c>
      <c r="F177" s="41"/>
      <c r="G177" s="43"/>
      <c r="H177" s="146" t="s">
        <v>12</v>
      </c>
      <c r="I177" s="144"/>
      <c r="J177" s="144"/>
      <c r="K177" s="145"/>
      <c r="L177" s="50">
        <v>0</v>
      </c>
      <c r="M177" s="50">
        <v>0</v>
      </c>
      <c r="N177" s="50">
        <v>0</v>
      </c>
      <c r="O177" s="50">
        <f>IF(L177&gt;0,N177*100/L177,0)</f>
        <v>0</v>
      </c>
      <c r="P177" s="50">
        <f>IF(M177&gt;0,N177*100/M177,0)</f>
        <v>0</v>
      </c>
    </row>
    <row r="178" spans="1:16" ht="18.75" x14ac:dyDescent="0.25">
      <c r="A178" s="136"/>
      <c r="B178" s="41"/>
      <c r="C178" s="41"/>
      <c r="D178" s="41"/>
      <c r="E178" s="254" t="s">
        <v>35</v>
      </c>
      <c r="F178" s="41"/>
      <c r="G178" s="43"/>
      <c r="H178" s="143" t="s">
        <v>12</v>
      </c>
      <c r="I178" s="144"/>
      <c r="J178" s="144"/>
      <c r="K178" s="145"/>
      <c r="L178" s="47">
        <f ca="1">IFERROR(__xludf.DUMMYFUNCTION("IMPORTRANGE(""https://docs.google.com/spreadsheets/d/1-uDff_7J0KD5mKrp0Vvzr7lt3OU09vwQwhkpOPPYv2Y/edit?usp=sharing"",""งบพรบ!CK17"")"),19590)</f>
        <v>19590</v>
      </c>
      <c r="M178" s="47">
        <f ca="1">IFERROR(__xludf.DUMMYFUNCTION("IMPORTRANGE(""https://docs.google.com/spreadsheets/d/1-uDff_7J0KD5mKrp0Vvzr7lt3OU09vwQwhkpOPPYv2Y/edit?usp=sharing"",""งบพรบ!CP17"")"),19590)</f>
        <v>19590</v>
      </c>
      <c r="N178" s="47">
        <f ca="1">IFERROR(__xludf.DUMMYFUNCTION("IMPORTRANGE(""https://docs.google.com/spreadsheets/d/1-uDff_7J0KD5mKrp0Vvzr7lt3OU09vwQwhkpOPPYv2Y/edit?usp=sharing"",""งบพรบ!CR17"")"),19590)</f>
        <v>19590</v>
      </c>
      <c r="O178" s="47">
        <f ca="1">IF(L178&gt;0,N178*100/L178,0)</f>
        <v>100</v>
      </c>
      <c r="P178" s="47">
        <f ca="1">IF(M178&gt;0,N178*100/M178,0)</f>
        <v>100</v>
      </c>
    </row>
    <row r="179" spans="1:16" ht="18.75" x14ac:dyDescent="0.25">
      <c r="A179" s="136"/>
      <c r="B179" s="41"/>
      <c r="C179" s="41"/>
      <c r="D179" s="42" t="s">
        <v>21</v>
      </c>
      <c r="E179" s="41"/>
      <c r="F179" s="41"/>
      <c r="G179" s="43"/>
      <c r="H179" s="147" t="s">
        <v>12</v>
      </c>
      <c r="I179" s="144"/>
      <c r="J179" s="144"/>
      <c r="K179" s="145"/>
      <c r="L179" s="47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</row>
    <row r="180" spans="1:16" ht="18.75" hidden="1" x14ac:dyDescent="0.25">
      <c r="A180" s="136"/>
      <c r="B180" s="41"/>
      <c r="C180" s="41"/>
      <c r="D180" s="41"/>
      <c r="E180" s="279" t="s">
        <v>18</v>
      </c>
      <c r="F180" s="41"/>
      <c r="G180" s="43"/>
      <c r="H180" s="146" t="s">
        <v>12</v>
      </c>
      <c r="I180" s="144"/>
      <c r="J180" s="144"/>
      <c r="K180" s="145"/>
      <c r="L180" s="50">
        <v>0</v>
      </c>
      <c r="M180" s="50">
        <v>0</v>
      </c>
      <c r="N180" s="50">
        <v>0</v>
      </c>
      <c r="O180" s="50">
        <f>IF(L180&gt;0,N180*100/L180,0)</f>
        <v>0</v>
      </c>
      <c r="P180" s="50">
        <f>IF(M180&gt;0,N180*100/M180,0)</f>
        <v>0</v>
      </c>
    </row>
    <row r="181" spans="1:16" ht="18.75" x14ac:dyDescent="0.25">
      <c r="A181" s="136"/>
      <c r="B181" s="41"/>
      <c r="C181" s="41"/>
      <c r="D181" s="41"/>
      <c r="E181" s="254" t="s">
        <v>19</v>
      </c>
      <c r="F181" s="41"/>
      <c r="G181" s="43"/>
      <c r="H181" s="147" t="s">
        <v>12</v>
      </c>
      <c r="I181" s="144"/>
      <c r="J181" s="144"/>
      <c r="K181" s="145"/>
      <c r="L181" s="47">
        <f ca="1">IFERROR(__xludf.DUMMYFUNCTION("IMPORTRANGE(""https://docs.google.com/spreadsheets/d/1-uDff_7J0KD5mKrp0Vvzr7lt3OU09vwQwhkpOPPYv2Y/edit?usp=sharing"",""งบพรบ!CN17"")"),0)</f>
        <v>0</v>
      </c>
      <c r="M181" s="47">
        <f ca="1">IFERROR(__xludf.DUMMYFUNCTION("IMPORTRANGE(""https://docs.google.com/spreadsheets/d/1-uDff_7J0KD5mKrp0Vvzr7lt3OU09vwQwhkpOPPYv2Y/edit?usp=sharing"",""งบพรบ!CQ17"")"),0)</f>
        <v>0</v>
      </c>
      <c r="N181" s="47">
        <f ca="1">IFERROR(__xludf.DUMMYFUNCTION("IMPORTRANGE(""https://docs.google.com/spreadsheets/d/1-uDff_7J0KD5mKrp0Vvzr7lt3OU09vwQwhkpOPPYv2Y/edit?usp=sharing"",""งบพรบ!CS17"")"),0)</f>
        <v>0</v>
      </c>
      <c r="O181" s="47">
        <f ca="1">IF(L181&gt;0,N181*100/L181,0)</f>
        <v>0</v>
      </c>
      <c r="P181" s="47">
        <f ca="1">IF(M181&gt;0,N181*100/M181,0)</f>
        <v>0</v>
      </c>
    </row>
    <row r="182" spans="1:16" ht="19.5" x14ac:dyDescent="0.3">
      <c r="A182" s="148"/>
      <c r="B182" s="149"/>
      <c r="C182" s="197" t="s">
        <v>16</v>
      </c>
      <c r="D182" s="395" t="s">
        <v>36</v>
      </c>
      <c r="E182" s="151"/>
      <c r="F182" s="151"/>
      <c r="G182" s="152"/>
      <c r="H182" s="196"/>
      <c r="I182" s="45"/>
      <c r="J182" s="45"/>
      <c r="K182" s="46"/>
      <c r="L182" s="46"/>
      <c r="M182" s="46"/>
      <c r="N182" s="46"/>
      <c r="O182" s="46"/>
      <c r="P182" s="46"/>
    </row>
    <row r="183" spans="1:16" ht="18.75" x14ac:dyDescent="0.25">
      <c r="A183" s="227"/>
      <c r="B183" s="41"/>
      <c r="C183" s="228"/>
      <c r="D183" s="229" t="s">
        <v>69</v>
      </c>
      <c r="E183" s="41"/>
      <c r="F183" s="41"/>
      <c r="G183" s="43"/>
      <c r="H183" s="230" t="s">
        <v>33</v>
      </c>
      <c r="I183" s="169">
        <f ca="1">IFERROR(__xludf.DUMMYFUNCTION("IMPORTRANGE(""https://docs.google.com/spreadsheets/d/1eHaY18a8A9IcSdp1K8H6x8fbOy06t2VsZHhMHf-1x7Y/edit?usp=sharing"",""แผน!AA17"")"),7)</f>
        <v>7</v>
      </c>
      <c r="J183" s="250">
        <v>7</v>
      </c>
      <c r="K183" s="47">
        <f ca="1">IF(I183&gt;0,J183*100/I183,0)</f>
        <v>100</v>
      </c>
      <c r="L183" s="46"/>
      <c r="M183" s="46"/>
      <c r="N183" s="46"/>
      <c r="O183" s="46"/>
      <c r="P183" s="46"/>
    </row>
    <row r="184" spans="1:16" ht="18.75" hidden="1" x14ac:dyDescent="0.25">
      <c r="A184" s="227"/>
      <c r="B184" s="228"/>
      <c r="C184" s="228"/>
      <c r="D184" s="231" t="s">
        <v>70</v>
      </c>
      <c r="E184" s="41"/>
      <c r="F184" s="41"/>
      <c r="G184" s="43"/>
      <c r="H184" s="232" t="s">
        <v>33</v>
      </c>
      <c r="I184" s="200">
        <v>0</v>
      </c>
      <c r="J184" s="200">
        <v>0</v>
      </c>
      <c r="K184" s="50">
        <f>IF(I184&gt;0,J184*100/I184,0)</f>
        <v>0</v>
      </c>
      <c r="L184" s="46"/>
      <c r="M184" s="46"/>
      <c r="N184" s="46"/>
      <c r="O184" s="46"/>
      <c r="P184" s="46"/>
    </row>
    <row r="185" spans="1:16" ht="19.5" x14ac:dyDescent="0.3">
      <c r="A185" s="220"/>
      <c r="B185" s="221" t="s">
        <v>71</v>
      </c>
      <c r="C185" s="222"/>
      <c r="D185" s="151"/>
      <c r="E185" s="151"/>
      <c r="F185" s="151"/>
      <c r="G185" s="152"/>
      <c r="H185" s="223" t="s">
        <v>33</v>
      </c>
      <c r="I185" s="224">
        <f ca="1">I230+I231</f>
        <v>0</v>
      </c>
      <c r="J185" s="224">
        <f>J230+J231</f>
        <v>0</v>
      </c>
      <c r="K185" s="225">
        <f ca="1">IF(I185&gt;0,J185*100/I185,0)</f>
        <v>0</v>
      </c>
      <c r="L185" s="226"/>
      <c r="M185" s="226"/>
      <c r="N185" s="226"/>
      <c r="O185" s="226"/>
      <c r="P185" s="226"/>
    </row>
    <row r="186" spans="1:16" ht="19.5" x14ac:dyDescent="0.3">
      <c r="A186" s="136"/>
      <c r="B186" s="41"/>
      <c r="C186" s="197" t="s">
        <v>16</v>
      </c>
      <c r="D186" s="397" t="s">
        <v>17</v>
      </c>
      <c r="E186" s="41"/>
      <c r="F186" s="41"/>
      <c r="G186" s="43"/>
      <c r="H186" s="139" t="s">
        <v>12</v>
      </c>
      <c r="I186" s="45"/>
      <c r="J186" s="45"/>
      <c r="K186" s="46"/>
      <c r="L186" s="140">
        <f ca="1">L187+L188</f>
        <v>214500</v>
      </c>
      <c r="M186" s="140">
        <f ca="1">M187+M188</f>
        <v>143500</v>
      </c>
      <c r="N186" s="140">
        <f ca="1">N187+N188</f>
        <v>28780</v>
      </c>
      <c r="O186" s="140">
        <f ca="1">IF(L186&gt;0,N186*100/L186,0)</f>
        <v>13.417249417249417</v>
      </c>
      <c r="P186" s="140">
        <f ca="1">IF(M186&gt;0,N186*100/M186,0)</f>
        <v>20.05574912891986</v>
      </c>
    </row>
    <row r="187" spans="1:16" ht="18.75" hidden="1" x14ac:dyDescent="0.25">
      <c r="A187" s="136"/>
      <c r="B187" s="41"/>
      <c r="C187" s="41"/>
      <c r="D187" s="41"/>
      <c r="E187" s="279" t="s">
        <v>18</v>
      </c>
      <c r="F187" s="41"/>
      <c r="G187" s="43"/>
      <c r="H187" s="141" t="s">
        <v>12</v>
      </c>
      <c r="I187" s="45"/>
      <c r="J187" s="45"/>
      <c r="K187" s="46"/>
      <c r="L187" s="50">
        <f>L190+L193</f>
        <v>0</v>
      </c>
      <c r="M187" s="50">
        <f>M190+M193</f>
        <v>0</v>
      </c>
      <c r="N187" s="50">
        <f>N190+N193</f>
        <v>0</v>
      </c>
      <c r="O187" s="50">
        <f>IF(L187&gt;0,N187*100/L187,0)</f>
        <v>0</v>
      </c>
      <c r="P187" s="50">
        <f>IF(M187&gt;0,N187*100/M187,0)</f>
        <v>0</v>
      </c>
    </row>
    <row r="188" spans="1:16" ht="18.75" x14ac:dyDescent="0.25">
      <c r="A188" s="136"/>
      <c r="B188" s="41"/>
      <c r="C188" s="41"/>
      <c r="D188" s="41"/>
      <c r="E188" s="254" t="s">
        <v>19</v>
      </c>
      <c r="F188" s="41"/>
      <c r="G188" s="43"/>
      <c r="H188" s="142" t="s">
        <v>12</v>
      </c>
      <c r="I188" s="45"/>
      <c r="J188" s="45"/>
      <c r="K188" s="46"/>
      <c r="L188" s="47">
        <f ca="1">L191+L194</f>
        <v>214500</v>
      </c>
      <c r="M188" s="47">
        <f ca="1">M191+M194</f>
        <v>143500</v>
      </c>
      <c r="N188" s="47">
        <f ca="1">N191+N194</f>
        <v>28780</v>
      </c>
      <c r="O188" s="47">
        <f ca="1">IF(L188&gt;0,N188*100/L188,0)</f>
        <v>13.417249417249417</v>
      </c>
      <c r="P188" s="47">
        <f ca="1">IF(M188&gt;0,N188*100/M188,0)</f>
        <v>20.05574912891986</v>
      </c>
    </row>
    <row r="189" spans="1:16" ht="18.75" x14ac:dyDescent="0.25">
      <c r="A189" s="136"/>
      <c r="B189" s="41"/>
      <c r="C189" s="41"/>
      <c r="D189" s="42" t="s">
        <v>20</v>
      </c>
      <c r="E189" s="41"/>
      <c r="F189" s="41"/>
      <c r="G189" s="43"/>
      <c r="H189" s="143" t="s">
        <v>12</v>
      </c>
      <c r="I189" s="144"/>
      <c r="J189" s="144"/>
      <c r="K189" s="145"/>
      <c r="L189" s="47">
        <f ca="1">L190+L191</f>
        <v>214500</v>
      </c>
      <c r="M189" s="47">
        <f ca="1">M190+M191</f>
        <v>143500</v>
      </c>
      <c r="N189" s="47">
        <f ca="1">N190+N191</f>
        <v>28780</v>
      </c>
      <c r="O189" s="47">
        <f ca="1">IF(L189&gt;0,N189*100/L189,0)</f>
        <v>13.417249417249417</v>
      </c>
      <c r="P189" s="47">
        <f ca="1">IF(M189&gt;0,N189*100/M189,0)</f>
        <v>20.05574912891986</v>
      </c>
    </row>
    <row r="190" spans="1:16" ht="18.75" hidden="1" x14ac:dyDescent="0.25">
      <c r="A190" s="136"/>
      <c r="B190" s="41"/>
      <c r="C190" s="41"/>
      <c r="D190" s="41"/>
      <c r="E190" s="279" t="s">
        <v>34</v>
      </c>
      <c r="F190" s="41"/>
      <c r="G190" s="43"/>
      <c r="H190" s="146" t="s">
        <v>12</v>
      </c>
      <c r="I190" s="144"/>
      <c r="J190" s="144"/>
      <c r="K190" s="145"/>
      <c r="L190" s="50">
        <v>0</v>
      </c>
      <c r="M190" s="50">
        <v>0</v>
      </c>
      <c r="N190" s="50">
        <v>0</v>
      </c>
      <c r="O190" s="50">
        <f>IF(L190&gt;0,N190*100/L190,0)</f>
        <v>0</v>
      </c>
      <c r="P190" s="50">
        <f>IF(M190&gt;0,N190*100/M190,0)</f>
        <v>0</v>
      </c>
    </row>
    <row r="191" spans="1:16" ht="18.75" x14ac:dyDescent="0.25">
      <c r="A191" s="136"/>
      <c r="B191" s="41"/>
      <c r="C191" s="41"/>
      <c r="D191" s="41"/>
      <c r="E191" s="254" t="s">
        <v>35</v>
      </c>
      <c r="F191" s="41"/>
      <c r="G191" s="43"/>
      <c r="H191" s="143" t="s">
        <v>12</v>
      </c>
      <c r="I191" s="144"/>
      <c r="J191" s="144"/>
      <c r="K191" s="145"/>
      <c r="L191" s="47">
        <f ca="1">IFERROR(__xludf.DUMMYFUNCTION("IMPORTRANGE(""https://docs.google.com/spreadsheets/d/1-uDff_7J0KD5mKrp0Vvzr7lt3OU09vwQwhkpOPPYv2Y/edit?usp=sharing"",""งบพรบ!CU17"")"),214500)</f>
        <v>214500</v>
      </c>
      <c r="M191" s="47">
        <f ca="1">IFERROR(__xludf.DUMMYFUNCTION("IMPORTRANGE(""https://docs.google.com/spreadsheets/d/1-uDff_7J0KD5mKrp0Vvzr7lt3OU09vwQwhkpOPPYv2Y/edit?usp=sharing"",""งบพรบ!CZ17"")"),143500)</f>
        <v>143500</v>
      </c>
      <c r="N191" s="47">
        <f ca="1">IFERROR(__xludf.DUMMYFUNCTION("IMPORTRANGE(""https://docs.google.com/spreadsheets/d/1-uDff_7J0KD5mKrp0Vvzr7lt3OU09vwQwhkpOPPYv2Y/edit?usp=sharing"",""งบพรบ!DB17"")"),28780)</f>
        <v>28780</v>
      </c>
      <c r="O191" s="47">
        <f ca="1">IF(L191&gt;0,N191*100/L191,0)</f>
        <v>13.417249417249417</v>
      </c>
      <c r="P191" s="47">
        <f ca="1">IF(M191&gt;0,N191*100/M191,0)</f>
        <v>20.05574912891986</v>
      </c>
    </row>
    <row r="192" spans="1:16" ht="18.75" x14ac:dyDescent="0.25">
      <c r="A192" s="136"/>
      <c r="B192" s="41"/>
      <c r="C192" s="41"/>
      <c r="D192" s="42" t="s">
        <v>21</v>
      </c>
      <c r="E192" s="41"/>
      <c r="F192" s="41"/>
      <c r="G192" s="43"/>
      <c r="H192" s="147" t="s">
        <v>12</v>
      </c>
      <c r="I192" s="144"/>
      <c r="J192" s="144"/>
      <c r="K192" s="145"/>
      <c r="L192" s="47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</row>
    <row r="193" spans="1:16" ht="18.75" hidden="1" x14ac:dyDescent="0.25">
      <c r="A193" s="136"/>
      <c r="B193" s="41"/>
      <c r="C193" s="41"/>
      <c r="D193" s="41"/>
      <c r="E193" s="279" t="s">
        <v>18</v>
      </c>
      <c r="F193" s="41"/>
      <c r="G193" s="43"/>
      <c r="H193" s="146" t="s">
        <v>12</v>
      </c>
      <c r="I193" s="144"/>
      <c r="J193" s="144"/>
      <c r="K193" s="145"/>
      <c r="L193" s="50">
        <v>0</v>
      </c>
      <c r="M193" s="50">
        <v>0</v>
      </c>
      <c r="N193" s="50">
        <v>0</v>
      </c>
      <c r="O193" s="50">
        <f>IF(L193&gt;0,N193*100/L193,0)</f>
        <v>0</v>
      </c>
      <c r="P193" s="50">
        <f>IF(M193&gt;0,N193*100/M193,0)</f>
        <v>0</v>
      </c>
    </row>
    <row r="194" spans="1:16" ht="18.75" x14ac:dyDescent="0.25">
      <c r="A194" s="136"/>
      <c r="B194" s="41"/>
      <c r="C194" s="41"/>
      <c r="D194" s="41"/>
      <c r="E194" s="254" t="s">
        <v>19</v>
      </c>
      <c r="F194" s="41"/>
      <c r="G194" s="43"/>
      <c r="H194" s="147" t="s">
        <v>12</v>
      </c>
      <c r="I194" s="144"/>
      <c r="J194" s="144"/>
      <c r="K194" s="145"/>
      <c r="L194" s="47">
        <f ca="1">IFERROR(__xludf.DUMMYFUNCTION("IMPORTRANGE(""https://docs.google.com/spreadsheets/d/1-uDff_7J0KD5mKrp0Vvzr7lt3OU09vwQwhkpOPPYv2Y/edit?usp=sharing"",""งบพรบ!CX17"")"),0)</f>
        <v>0</v>
      </c>
      <c r="M194" s="47">
        <f ca="1">IFERROR(__xludf.DUMMYFUNCTION("IMPORTRANGE(""https://docs.google.com/spreadsheets/d/1-uDff_7J0KD5mKrp0Vvzr7lt3OU09vwQwhkpOPPYv2Y/edit?usp=sharing"",""งบพรบ!DA17"")"),0)</f>
        <v>0</v>
      </c>
      <c r="N194" s="47">
        <f ca="1">IFERROR(__xludf.DUMMYFUNCTION("IMPORTRANGE(""https://docs.google.com/spreadsheets/d/1-uDff_7J0KD5mKrp0Vvzr7lt3OU09vwQwhkpOPPYv2Y/edit?usp=sharing"",""งบพรบ!DC17"")"),0)</f>
        <v>0</v>
      </c>
      <c r="O194" s="47">
        <f ca="1">IF(L194&gt;0,N194*100/L194,0)</f>
        <v>0</v>
      </c>
      <c r="P194" s="47">
        <f ca="1">IF(M194&gt;0,N194*100/M194,0)</f>
        <v>0</v>
      </c>
    </row>
    <row r="195" spans="1:16" ht="19.5" x14ac:dyDescent="0.3">
      <c r="A195" s="233"/>
      <c r="B195" s="234"/>
      <c r="C195" s="235" t="s">
        <v>72</v>
      </c>
      <c r="D195" s="236"/>
      <c r="E195" s="236"/>
      <c r="F195" s="236"/>
      <c r="G195" s="237"/>
      <c r="H195" s="238" t="s">
        <v>73</v>
      </c>
      <c r="I195" s="239">
        <f ca="1">I198</f>
        <v>4</v>
      </c>
      <c r="J195" s="239">
        <f>J198</f>
        <v>0</v>
      </c>
      <c r="K195" s="240">
        <f ca="1">IF(I195&gt;0,J195*100/I195,0)</f>
        <v>0</v>
      </c>
      <c r="L195" s="241"/>
      <c r="M195" s="241"/>
      <c r="N195" s="241"/>
      <c r="O195" s="241"/>
      <c r="P195" s="241"/>
    </row>
    <row r="196" spans="1:16" ht="19.5" x14ac:dyDescent="0.3">
      <c r="A196" s="136"/>
      <c r="B196" s="41"/>
      <c r="C196" s="197" t="s">
        <v>16</v>
      </c>
      <c r="D196" s="400" t="s">
        <v>17</v>
      </c>
      <c r="E196" s="41"/>
      <c r="F196" s="41"/>
      <c r="G196" s="43"/>
      <c r="H196" s="243" t="s">
        <v>12</v>
      </c>
      <c r="I196" s="45"/>
      <c r="J196" s="45"/>
      <c r="K196" s="46"/>
      <c r="L196" s="140">
        <f ca="1">IFERROR(__xludf.DUMMYFUNCTION("IMPORTRANGE(""https://docs.google.com/spreadsheets/d/1eHaY18a8A9IcSdp1K8H6x8fbOy06t2VsZHhMHf-1x7Y/edit?usp=sharing"",""แผน!AB17"")"),6000)</f>
        <v>6000</v>
      </c>
      <c r="M196" s="46"/>
      <c r="N196" s="244">
        <v>0</v>
      </c>
      <c r="O196" s="140">
        <f ca="1">IF(L196&gt;0,N196*100/L196,0)</f>
        <v>0</v>
      </c>
      <c r="P196" s="140">
        <f>IF(M196&gt;0,N196*100/M196,0)</f>
        <v>0</v>
      </c>
    </row>
    <row r="197" spans="1:16" ht="19.5" x14ac:dyDescent="0.3">
      <c r="A197" s="148"/>
      <c r="B197" s="149"/>
      <c r="C197" s="197" t="s">
        <v>16</v>
      </c>
      <c r="D197" s="395" t="s">
        <v>36</v>
      </c>
      <c r="E197" s="151"/>
      <c r="F197" s="151"/>
      <c r="G197" s="152"/>
      <c r="H197" s="153"/>
      <c r="I197" s="45"/>
      <c r="J197" s="45"/>
      <c r="K197" s="46"/>
      <c r="L197" s="46"/>
      <c r="M197" s="46"/>
      <c r="N197" s="46"/>
      <c r="O197" s="46"/>
      <c r="P197" s="46"/>
    </row>
    <row r="198" spans="1:16" ht="18.75" x14ac:dyDescent="0.25">
      <c r="A198" s="148"/>
      <c r="B198" s="149"/>
      <c r="C198" s="149"/>
      <c r="D198" s="159" t="s">
        <v>74</v>
      </c>
      <c r="E198" s="155"/>
      <c r="F198" s="155"/>
      <c r="G198" s="153"/>
      <c r="H198" s="251" t="s">
        <v>73</v>
      </c>
      <c r="I198" s="169">
        <f ca="1">IFERROR(__xludf.DUMMYFUNCTION("IMPORTRANGE(""https://docs.google.com/spreadsheets/d/1eHaY18a8A9IcSdp1K8H6x8fbOy06t2VsZHhMHf-1x7Y/edit?usp=sharing"",""แผน!AE17"")"),4)</f>
        <v>4</v>
      </c>
      <c r="J198" s="250">
        <v>0</v>
      </c>
      <c r="K198" s="47">
        <f ca="1">IF(I198&gt;0,J198*100/I198,0)</f>
        <v>0</v>
      </c>
      <c r="L198" s="46"/>
      <c r="M198" s="46"/>
      <c r="N198" s="46"/>
      <c r="O198" s="46"/>
      <c r="P198" s="46"/>
    </row>
    <row r="199" spans="1:16" ht="18.75" x14ac:dyDescent="0.25">
      <c r="A199" s="148"/>
      <c r="B199" s="149"/>
      <c r="C199" s="149"/>
      <c r="D199" s="159" t="s">
        <v>75</v>
      </c>
      <c r="E199" s="155"/>
      <c r="F199" s="155"/>
      <c r="G199" s="153"/>
      <c r="H199" s="230" t="s">
        <v>33</v>
      </c>
      <c r="I199" s="45"/>
      <c r="J199" s="169">
        <f>J200+J201</f>
        <v>0</v>
      </c>
      <c r="K199" s="46"/>
      <c r="L199" s="46"/>
      <c r="M199" s="46"/>
      <c r="N199" s="46"/>
      <c r="O199" s="46"/>
      <c r="P199" s="46"/>
    </row>
    <row r="200" spans="1:16" ht="18.75" x14ac:dyDescent="0.25">
      <c r="A200" s="148"/>
      <c r="B200" s="149"/>
      <c r="C200" s="149"/>
      <c r="D200" s="149"/>
      <c r="E200" s="159" t="s">
        <v>76</v>
      </c>
      <c r="F200" s="155"/>
      <c r="G200" s="153"/>
      <c r="H200" s="230" t="s">
        <v>33</v>
      </c>
      <c r="I200" s="45"/>
      <c r="J200" s="250">
        <v>0</v>
      </c>
      <c r="K200" s="46"/>
      <c r="L200" s="46"/>
      <c r="M200" s="46"/>
      <c r="N200" s="46"/>
      <c r="O200" s="46"/>
      <c r="P200" s="46"/>
    </row>
    <row r="201" spans="1:16" ht="18.75" x14ac:dyDescent="0.25">
      <c r="A201" s="148"/>
      <c r="B201" s="149"/>
      <c r="C201" s="149"/>
      <c r="D201" s="149"/>
      <c r="E201" s="159" t="s">
        <v>77</v>
      </c>
      <c r="F201" s="155"/>
      <c r="G201" s="153"/>
      <c r="H201" s="230" t="s">
        <v>33</v>
      </c>
      <c r="I201" s="45"/>
      <c r="J201" s="250">
        <v>0</v>
      </c>
      <c r="K201" s="46"/>
      <c r="L201" s="46"/>
      <c r="M201" s="46"/>
      <c r="N201" s="46"/>
      <c r="O201" s="46"/>
      <c r="P201" s="46"/>
    </row>
    <row r="202" spans="1:16" ht="19.5" x14ac:dyDescent="0.3">
      <c r="A202" s="233"/>
      <c r="B202" s="234"/>
      <c r="C202" s="235" t="s">
        <v>78</v>
      </c>
      <c r="D202" s="236"/>
      <c r="E202" s="236"/>
      <c r="F202" s="236"/>
      <c r="G202" s="237"/>
      <c r="H202" s="245" t="s">
        <v>79</v>
      </c>
      <c r="I202" s="239">
        <f ca="1">I209</f>
        <v>1</v>
      </c>
      <c r="J202" s="239">
        <f>J209</f>
        <v>0</v>
      </c>
      <c r="K202" s="240">
        <f ca="1">IF(I202&gt;0,J202*100/I202,0)</f>
        <v>0</v>
      </c>
      <c r="L202" s="241"/>
      <c r="M202" s="241"/>
      <c r="N202" s="241"/>
      <c r="O202" s="241"/>
      <c r="P202" s="241"/>
    </row>
    <row r="203" spans="1:16" ht="19.5" x14ac:dyDescent="0.3">
      <c r="A203" s="136"/>
      <c r="B203" s="41"/>
      <c r="C203" s="197" t="s">
        <v>16</v>
      </c>
      <c r="D203" s="400" t="s">
        <v>17</v>
      </c>
      <c r="E203" s="41"/>
      <c r="F203" s="41"/>
      <c r="G203" s="43"/>
      <c r="H203" s="243" t="s">
        <v>12</v>
      </c>
      <c r="I203" s="144"/>
      <c r="J203" s="144"/>
      <c r="K203" s="145"/>
      <c r="L203" s="140">
        <f ca="1">L204+L205+L206+L207</f>
        <v>18000</v>
      </c>
      <c r="M203" s="46"/>
      <c r="N203" s="140">
        <f>N204+N205+N206+N207</f>
        <v>0</v>
      </c>
      <c r="O203" s="140">
        <f ca="1">IF(L203&gt;0,N203*100/L203,0)</f>
        <v>0</v>
      </c>
      <c r="P203" s="140">
        <f>IF(M203&gt;0,N203*100/M203,0)</f>
        <v>0</v>
      </c>
    </row>
    <row r="204" spans="1:16" ht="18.75" x14ac:dyDescent="0.25">
      <c r="A204" s="136"/>
      <c r="B204" s="228"/>
      <c r="C204" s="41"/>
      <c r="D204" s="253" t="s">
        <v>153</v>
      </c>
      <c r="E204" s="41"/>
      <c r="F204" s="41"/>
      <c r="G204" s="43"/>
      <c r="H204" s="143" t="s">
        <v>12</v>
      </c>
      <c r="I204" s="144"/>
      <c r="J204" s="144"/>
      <c r="K204" s="145"/>
      <c r="L204" s="47">
        <f ca="1">IFERROR(__xludf.DUMMYFUNCTION("IMPORTRANGE(""https://docs.google.com/spreadsheets/d/1eHaY18a8A9IcSdp1K8H6x8fbOy06t2VsZHhMHf-1x7Y/edit?usp=sharing"",""แผน!AG17"")"),1000)</f>
        <v>1000</v>
      </c>
      <c r="M204" s="46"/>
      <c r="N204" s="248">
        <v>0</v>
      </c>
      <c r="O204" s="145"/>
      <c r="P204" s="46"/>
    </row>
    <row r="205" spans="1:16" ht="18.75" x14ac:dyDescent="0.25">
      <c r="A205" s="227"/>
      <c r="B205" s="228"/>
      <c r="C205" s="41"/>
      <c r="D205" s="254" t="s">
        <v>81</v>
      </c>
      <c r="E205" s="41"/>
      <c r="F205" s="41"/>
      <c r="G205" s="43"/>
      <c r="H205" s="44" t="s">
        <v>12</v>
      </c>
      <c r="I205" s="45"/>
      <c r="J205" s="45"/>
      <c r="K205" s="46"/>
      <c r="L205" s="47">
        <f ca="1">IFERROR(__xludf.DUMMYFUNCTION("IMPORTRANGE(""https://docs.google.com/spreadsheets/d/1eHaY18a8A9IcSdp1K8H6x8fbOy06t2VsZHhMHf-1x7Y/edit?usp=sharing"",""แผน!AH17"")"),0)</f>
        <v>0</v>
      </c>
      <c r="M205" s="46"/>
      <c r="N205" s="248">
        <v>0</v>
      </c>
      <c r="O205" s="145"/>
      <c r="P205" s="46"/>
    </row>
    <row r="206" spans="1:16" ht="18.75" x14ac:dyDescent="0.25">
      <c r="A206" s="227"/>
      <c r="B206" s="228"/>
      <c r="C206" s="41"/>
      <c r="D206" s="254" t="s">
        <v>82</v>
      </c>
      <c r="E206" s="41"/>
      <c r="F206" s="41"/>
      <c r="G206" s="43"/>
      <c r="H206" s="44" t="s">
        <v>12</v>
      </c>
      <c r="I206" s="45"/>
      <c r="J206" s="45"/>
      <c r="K206" s="46"/>
      <c r="L206" s="47">
        <f ca="1">IFERROR(__xludf.DUMMYFUNCTION("IMPORTRANGE(""https://docs.google.com/spreadsheets/d/1eHaY18a8A9IcSdp1K8H6x8fbOy06t2VsZHhMHf-1x7Y/edit?usp=sharing"",""แผน!AI17"")"),8000)</f>
        <v>8000</v>
      </c>
      <c r="M206" s="46"/>
      <c r="N206" s="248">
        <v>0</v>
      </c>
      <c r="O206" s="145"/>
      <c r="P206" s="46"/>
    </row>
    <row r="207" spans="1:16" ht="18.75" x14ac:dyDescent="0.25">
      <c r="A207" s="227"/>
      <c r="B207" s="228"/>
      <c r="C207" s="41"/>
      <c r="D207" s="254" t="s">
        <v>83</v>
      </c>
      <c r="E207" s="41"/>
      <c r="F207" s="41"/>
      <c r="G207" s="43"/>
      <c r="H207" s="44" t="s">
        <v>12</v>
      </c>
      <c r="I207" s="45"/>
      <c r="J207" s="45"/>
      <c r="K207" s="46"/>
      <c r="L207" s="47">
        <f ca="1">IFERROR(__xludf.DUMMYFUNCTION("IMPORTRANGE(""https://docs.google.com/spreadsheets/d/1eHaY18a8A9IcSdp1K8H6x8fbOy06t2VsZHhMHf-1x7Y/edit?usp=sharing"",""แผน!AJ17"")"),9000)</f>
        <v>9000</v>
      </c>
      <c r="M207" s="46"/>
      <c r="N207" s="248">
        <v>0</v>
      </c>
      <c r="O207" s="145"/>
      <c r="P207" s="46"/>
    </row>
    <row r="208" spans="1:16" ht="19.5" x14ac:dyDescent="0.3">
      <c r="A208" s="148"/>
      <c r="B208" s="149"/>
      <c r="C208" s="197" t="s">
        <v>16</v>
      </c>
      <c r="D208" s="395" t="s">
        <v>36</v>
      </c>
      <c r="E208" s="151"/>
      <c r="F208" s="151"/>
      <c r="G208" s="152"/>
      <c r="H208" s="153"/>
      <c r="I208" s="144"/>
      <c r="J208" s="144"/>
      <c r="K208" s="145"/>
      <c r="L208" s="145"/>
      <c r="M208" s="145"/>
      <c r="N208" s="145"/>
      <c r="O208" s="145"/>
      <c r="P208" s="145"/>
    </row>
    <row r="209" spans="1:16" ht="18.75" x14ac:dyDescent="0.25">
      <c r="A209" s="148"/>
      <c r="B209" s="149"/>
      <c r="C209" s="149"/>
      <c r="D209" s="154" t="s">
        <v>84</v>
      </c>
      <c r="E209" s="155"/>
      <c r="F209" s="155"/>
      <c r="G209" s="153"/>
      <c r="H209" s="249" t="s">
        <v>79</v>
      </c>
      <c r="I209" s="169">
        <f ca="1">IFERROR(__xludf.DUMMYFUNCTION("IMPORTRANGE(""https://docs.google.com/spreadsheets/d/1eHaY18a8A9IcSdp1K8H6x8fbOy06t2VsZHhMHf-1x7Y/edit?usp=sharing"",""แผน!AK17"")"),1)</f>
        <v>1</v>
      </c>
      <c r="J209" s="250">
        <v>0</v>
      </c>
      <c r="K209" s="163">
        <f ca="1">IF(I209&gt;0,J209*100/I209,0)</f>
        <v>0</v>
      </c>
      <c r="L209" s="46"/>
      <c r="M209" s="46"/>
      <c r="N209" s="46"/>
      <c r="O209" s="46"/>
      <c r="P209" s="46"/>
    </row>
    <row r="210" spans="1:16" ht="18.75" x14ac:dyDescent="0.25">
      <c r="A210" s="148"/>
      <c r="B210" s="149"/>
      <c r="C210" s="149"/>
      <c r="D210" s="159" t="s">
        <v>48</v>
      </c>
      <c r="E210" s="155"/>
      <c r="F210" s="155"/>
      <c r="G210" s="153"/>
      <c r="H210" s="153"/>
      <c r="I210" s="45"/>
      <c r="J210" s="45"/>
      <c r="K210" s="145"/>
      <c r="L210" s="46"/>
      <c r="M210" s="46"/>
      <c r="N210" s="46"/>
      <c r="O210" s="46"/>
      <c r="P210" s="46"/>
    </row>
    <row r="211" spans="1:16" ht="18.75" x14ac:dyDescent="0.25">
      <c r="A211" s="148"/>
      <c r="B211" s="149"/>
      <c r="C211" s="149"/>
      <c r="D211" s="155"/>
      <c r="E211" s="159" t="s">
        <v>85</v>
      </c>
      <c r="F211" s="155"/>
      <c r="G211" s="153"/>
      <c r="H211" s="249" t="s">
        <v>79</v>
      </c>
      <c r="I211" s="169">
        <f ca="1">IFERROR(__xludf.DUMMYFUNCTION("IMPORTRANGE(""https://docs.google.com/spreadsheets/d/1eHaY18a8A9IcSdp1K8H6x8fbOy06t2VsZHhMHf-1x7Y/edit?usp=sharing"",""แผน!AK17"")"),1)</f>
        <v>1</v>
      </c>
      <c r="J211" s="250">
        <v>0</v>
      </c>
      <c r="K211" s="163">
        <f ca="1">IF(I211&gt;0,J211*100/I211,0)</f>
        <v>0</v>
      </c>
      <c r="L211" s="46"/>
      <c r="M211" s="46"/>
      <c r="N211" s="46"/>
      <c r="O211" s="46"/>
      <c r="P211" s="46"/>
    </row>
    <row r="212" spans="1:16" ht="18.75" x14ac:dyDescent="0.25">
      <c r="A212" s="148"/>
      <c r="B212" s="149"/>
      <c r="C212" s="149"/>
      <c r="D212" s="155"/>
      <c r="E212" s="159" t="s">
        <v>86</v>
      </c>
      <c r="F212" s="155"/>
      <c r="G212" s="155"/>
      <c r="H212" s="251" t="s">
        <v>87</v>
      </c>
      <c r="I212" s="169">
        <f ca="1">IFERROR(__xludf.DUMMYFUNCTION("IMPORTRANGE(""https://docs.google.com/spreadsheets/d/1eHaY18a8A9IcSdp1K8H6x8fbOy06t2VsZHhMHf-1x7Y/edit?usp=sharing"",""แผน!AK17"")"),1)</f>
        <v>1</v>
      </c>
      <c r="J212" s="250">
        <v>0</v>
      </c>
      <c r="K212" s="163">
        <f ca="1">IF(I212&gt;0,J212*100/I212,0)</f>
        <v>0</v>
      </c>
      <c r="L212" s="46"/>
      <c r="M212" s="46"/>
      <c r="N212" s="46"/>
      <c r="O212" s="46"/>
      <c r="P212" s="46"/>
    </row>
    <row r="213" spans="1:16" ht="19.5" hidden="1" x14ac:dyDescent="0.3">
      <c r="A213" s="233"/>
      <c r="B213" s="234"/>
      <c r="C213" s="235" t="s">
        <v>88</v>
      </c>
      <c r="D213" s="236"/>
      <c r="E213" s="236"/>
      <c r="F213" s="236"/>
      <c r="G213" s="237"/>
      <c r="H213" s="245" t="s">
        <v>79</v>
      </c>
      <c r="I213" s="239">
        <f ca="1">I220</f>
        <v>0</v>
      </c>
      <c r="J213" s="239">
        <f>J220</f>
        <v>0</v>
      </c>
      <c r="K213" s="240">
        <f ca="1">IF(I213&gt;0,J213*100/I213,0)</f>
        <v>0</v>
      </c>
      <c r="L213" s="241"/>
      <c r="M213" s="241"/>
      <c r="N213" s="241"/>
      <c r="O213" s="241"/>
      <c r="P213" s="241"/>
    </row>
    <row r="214" spans="1:16" ht="19.5" hidden="1" x14ac:dyDescent="0.3">
      <c r="A214" s="136"/>
      <c r="B214" s="41"/>
      <c r="C214" s="197" t="s">
        <v>16</v>
      </c>
      <c r="D214" s="400" t="s">
        <v>17</v>
      </c>
      <c r="E214" s="41"/>
      <c r="F214" s="41"/>
      <c r="G214" s="43"/>
      <c r="H214" s="243" t="s">
        <v>12</v>
      </c>
      <c r="I214" s="144"/>
      <c r="J214" s="144"/>
      <c r="K214" s="145"/>
      <c r="L214" s="140">
        <f ca="1">L215+L216+L217</f>
        <v>0</v>
      </c>
      <c r="M214" s="46"/>
      <c r="N214" s="140">
        <f>N215+N216+N217</f>
        <v>0</v>
      </c>
      <c r="O214" s="140">
        <f ca="1">IF(L214&gt;0,N214*100/L214,0)</f>
        <v>0</v>
      </c>
      <c r="P214" s="140">
        <f>IF(M214&gt;0,N214*100/M214,0)</f>
        <v>0</v>
      </c>
    </row>
    <row r="215" spans="1:16" ht="18.75" hidden="1" x14ac:dyDescent="0.25">
      <c r="A215" s="136"/>
      <c r="B215" s="228"/>
      <c r="C215" s="41"/>
      <c r="D215" s="254" t="s">
        <v>80</v>
      </c>
      <c r="E215" s="41"/>
      <c r="F215" s="41"/>
      <c r="G215" s="43"/>
      <c r="H215" s="143" t="s">
        <v>12</v>
      </c>
      <c r="I215" s="144"/>
      <c r="J215" s="144"/>
      <c r="K215" s="145"/>
      <c r="L215" s="47">
        <f ca="1">IFERROR(__xludf.DUMMYFUNCTION("IMPORTRANGE(""https://docs.google.com/spreadsheets/d/1eHaY18a8A9IcSdp1K8H6x8fbOy06t2VsZHhMHf-1x7Y/edit?usp=sharing"",""แผน!AM17"")"),0)</f>
        <v>0</v>
      </c>
      <c r="M215" s="46"/>
      <c r="N215" s="248">
        <v>0</v>
      </c>
      <c r="O215" s="145"/>
      <c r="P215" s="46"/>
    </row>
    <row r="216" spans="1:16" ht="18.75" hidden="1" x14ac:dyDescent="0.25">
      <c r="A216" s="227"/>
      <c r="B216" s="228"/>
      <c r="C216" s="228"/>
      <c r="D216" s="254" t="s">
        <v>89</v>
      </c>
      <c r="E216" s="41"/>
      <c r="F216" s="41"/>
      <c r="G216" s="43"/>
      <c r="H216" s="143" t="s">
        <v>12</v>
      </c>
      <c r="I216" s="45"/>
      <c r="J216" s="45"/>
      <c r="K216" s="46"/>
      <c r="L216" s="47">
        <f ca="1">IFERROR(__xludf.DUMMYFUNCTION("IMPORTRANGE(""https://docs.google.com/spreadsheets/d/1eHaY18a8A9IcSdp1K8H6x8fbOy06t2VsZHhMHf-1x7Y/edit?usp=sharing"",""แผน!AN17"")"),0)</f>
        <v>0</v>
      </c>
      <c r="M216" s="46"/>
      <c r="N216" s="248">
        <v>0</v>
      </c>
      <c r="O216" s="145"/>
      <c r="P216" s="46"/>
    </row>
    <row r="217" spans="1:16" ht="18.75" hidden="1" x14ac:dyDescent="0.25">
      <c r="A217" s="227"/>
      <c r="B217" s="228"/>
      <c r="C217" s="228"/>
      <c r="D217" s="254" t="s">
        <v>82</v>
      </c>
      <c r="E217" s="41"/>
      <c r="F217" s="41"/>
      <c r="G217" s="43"/>
      <c r="H217" s="143" t="s">
        <v>12</v>
      </c>
      <c r="I217" s="45"/>
      <c r="J217" s="45"/>
      <c r="K217" s="46"/>
      <c r="L217" s="47">
        <f ca="1">IFERROR(__xludf.DUMMYFUNCTION("IMPORTRANGE(""https://docs.google.com/spreadsheets/d/1eHaY18a8A9IcSdp1K8H6x8fbOy06t2VsZHhMHf-1x7Y/edit?usp=sharing"",""แผน!AO17"")"),0)</f>
        <v>0</v>
      </c>
      <c r="M217" s="46"/>
      <c r="N217" s="248">
        <v>0</v>
      </c>
      <c r="O217" s="145"/>
      <c r="P217" s="46"/>
    </row>
    <row r="218" spans="1:16" ht="19.5" hidden="1" x14ac:dyDescent="0.3">
      <c r="A218" s="148"/>
      <c r="B218" s="149"/>
      <c r="C218" s="252" t="s">
        <v>16</v>
      </c>
      <c r="D218" s="395" t="s">
        <v>36</v>
      </c>
      <c r="E218" s="151"/>
      <c r="F218" s="151"/>
      <c r="G218" s="152"/>
      <c r="H218" s="153"/>
      <c r="I218" s="144"/>
      <c r="J218" s="45"/>
      <c r="K218" s="46"/>
      <c r="L218" s="46"/>
      <c r="M218" s="46"/>
      <c r="N218" s="46"/>
      <c r="O218" s="145"/>
      <c r="P218" s="145"/>
    </row>
    <row r="219" spans="1:16" ht="18.75" hidden="1" x14ac:dyDescent="0.25">
      <c r="A219" s="148"/>
      <c r="B219" s="149"/>
      <c r="C219" s="149"/>
      <c r="D219" s="154" t="s">
        <v>90</v>
      </c>
      <c r="E219" s="155"/>
      <c r="F219" s="155"/>
      <c r="G219" s="153"/>
      <c r="H219" s="249" t="s">
        <v>79</v>
      </c>
      <c r="I219" s="169">
        <f ca="1">IFERROR(__xludf.DUMMYFUNCTION("IMPORTRANGE(""https://docs.google.com/spreadsheets/d/1eHaY18a8A9IcSdp1K8H6x8fbOy06t2VsZHhMHf-1x7Y/edit?usp=sharing"",""แผน!AP17"")"),0)</f>
        <v>0</v>
      </c>
      <c r="J219" s="250">
        <v>0</v>
      </c>
      <c r="K219" s="47">
        <f ca="1">IF(I219&gt;0,J219*100/I219,0)</f>
        <v>0</v>
      </c>
      <c r="L219" s="46"/>
      <c r="M219" s="46"/>
      <c r="N219" s="46"/>
      <c r="O219" s="46"/>
      <c r="P219" s="46"/>
    </row>
    <row r="220" spans="1:16" ht="18.75" hidden="1" x14ac:dyDescent="0.25">
      <c r="A220" s="148"/>
      <c r="B220" s="149"/>
      <c r="C220" s="149"/>
      <c r="D220" s="154" t="s">
        <v>91</v>
      </c>
      <c r="E220" s="155"/>
      <c r="F220" s="155"/>
      <c r="G220" s="153"/>
      <c r="H220" s="249" t="s">
        <v>79</v>
      </c>
      <c r="I220" s="169">
        <f ca="1">IFERROR(__xludf.DUMMYFUNCTION("IMPORTRANGE(""https://docs.google.com/spreadsheets/d/1eHaY18a8A9IcSdp1K8H6x8fbOy06t2VsZHhMHf-1x7Y/edit?usp=sharing"",""แผน!AP17"")"),0)</f>
        <v>0</v>
      </c>
      <c r="J220" s="250">
        <v>0</v>
      </c>
      <c r="K220" s="47">
        <f ca="1">IF(I220&gt;0,J220*100/I220,0)</f>
        <v>0</v>
      </c>
      <c r="L220" s="46"/>
      <c r="M220" s="46"/>
      <c r="N220" s="46"/>
      <c r="O220" s="46"/>
      <c r="P220" s="46"/>
    </row>
    <row r="221" spans="1:16" ht="19.5" x14ac:dyDescent="0.3">
      <c r="A221" s="233"/>
      <c r="B221" s="234"/>
      <c r="C221" s="235" t="s">
        <v>92</v>
      </c>
      <c r="D221" s="236"/>
      <c r="E221" s="236"/>
      <c r="F221" s="236"/>
      <c r="G221" s="237"/>
      <c r="H221" s="238" t="s">
        <v>93</v>
      </c>
      <c r="I221" s="239">
        <f ca="1">I229</f>
        <v>50000</v>
      </c>
      <c r="J221" s="239">
        <f>J229</f>
        <v>0</v>
      </c>
      <c r="K221" s="240">
        <f ca="1">IF(I221&gt;0,J221*100/I221,0)</f>
        <v>0</v>
      </c>
      <c r="L221" s="241"/>
      <c r="M221" s="241"/>
      <c r="N221" s="241"/>
      <c r="O221" s="241"/>
      <c r="P221" s="241"/>
    </row>
    <row r="222" spans="1:16" ht="19.5" x14ac:dyDescent="0.3">
      <c r="A222" s="136"/>
      <c r="B222" s="41"/>
      <c r="C222" s="197" t="s">
        <v>16</v>
      </c>
      <c r="D222" s="400" t="s">
        <v>17</v>
      </c>
      <c r="E222" s="41"/>
      <c r="F222" s="41"/>
      <c r="G222" s="43"/>
      <c r="H222" s="243" t="s">
        <v>12</v>
      </c>
      <c r="I222" s="144"/>
      <c r="J222" s="144"/>
      <c r="K222" s="145"/>
      <c r="L222" s="140">
        <f ca="1">L223+L224+L225</f>
        <v>8500</v>
      </c>
      <c r="M222" s="46"/>
      <c r="N222" s="140">
        <f>N223+N224+N225</f>
        <v>0</v>
      </c>
      <c r="O222" s="140">
        <f ca="1">IF(L222&gt;0,N222*100/L222,0)</f>
        <v>0</v>
      </c>
      <c r="P222" s="140">
        <f>IF(M222&gt;0,N222*100/M222,0)</f>
        <v>0</v>
      </c>
    </row>
    <row r="223" spans="1:16" ht="18.75" x14ac:dyDescent="0.25">
      <c r="A223" s="136"/>
      <c r="B223" s="228"/>
      <c r="C223" s="41"/>
      <c r="D223" s="253" t="s">
        <v>94</v>
      </c>
      <c r="E223" s="41"/>
      <c r="F223" s="41"/>
      <c r="G223" s="43"/>
      <c r="H223" s="143" t="s">
        <v>12</v>
      </c>
      <c r="I223" s="144"/>
      <c r="J223" s="144"/>
      <c r="K223" s="145"/>
      <c r="L223" s="47">
        <f ca="1">IFERROR(__xludf.DUMMYFUNCTION("IMPORTRANGE(""https://docs.google.com/spreadsheets/d/1eHaY18a8A9IcSdp1K8H6x8fbOy06t2VsZHhMHf-1x7Y/edit?usp=sharing"",""แผน!AR17"")"),7000)</f>
        <v>7000</v>
      </c>
      <c r="M223" s="46"/>
      <c r="N223" s="248">
        <v>0</v>
      </c>
      <c r="O223" s="145"/>
      <c r="P223" s="46"/>
    </row>
    <row r="224" spans="1:16" ht="18.75" x14ac:dyDescent="0.25">
      <c r="A224" s="227"/>
      <c r="B224" s="228"/>
      <c r="C224" s="228"/>
      <c r="D224" s="254" t="s">
        <v>95</v>
      </c>
      <c r="E224" s="41"/>
      <c r="F224" s="41"/>
      <c r="G224" s="43"/>
      <c r="H224" s="143" t="s">
        <v>12</v>
      </c>
      <c r="I224" s="45"/>
      <c r="J224" s="45"/>
      <c r="K224" s="46"/>
      <c r="L224" s="47">
        <f ca="1">IFERROR(__xludf.DUMMYFUNCTION("IMPORTRANGE(""https://docs.google.com/spreadsheets/d/1eHaY18a8A9IcSdp1K8H6x8fbOy06t2VsZHhMHf-1x7Y/edit?usp=sharing"",""แผน!AS17"")"),1500)</f>
        <v>1500</v>
      </c>
      <c r="M224" s="46"/>
      <c r="N224" s="248">
        <v>0</v>
      </c>
      <c r="O224" s="145"/>
      <c r="P224" s="46"/>
    </row>
    <row r="225" spans="1:16" ht="18.75" x14ac:dyDescent="0.25">
      <c r="A225" s="227"/>
      <c r="B225" s="228"/>
      <c r="C225" s="228"/>
      <c r="D225" s="254" t="s">
        <v>82</v>
      </c>
      <c r="E225" s="41"/>
      <c r="F225" s="41"/>
      <c r="G225" s="43"/>
      <c r="H225" s="143" t="s">
        <v>12</v>
      </c>
      <c r="I225" s="45"/>
      <c r="J225" s="45"/>
      <c r="K225" s="46"/>
      <c r="L225" s="47">
        <f ca="1">IFERROR(__xludf.DUMMYFUNCTION("IMPORTRANGE(""https://docs.google.com/spreadsheets/d/1eHaY18a8A9IcSdp1K8H6x8fbOy06t2VsZHhMHf-1x7Y/edit?usp=sharing"",""แผน!AT17"")"),0)</f>
        <v>0</v>
      </c>
      <c r="M225" s="46"/>
      <c r="N225" s="248">
        <v>0</v>
      </c>
      <c r="O225" s="145"/>
      <c r="P225" s="46"/>
    </row>
    <row r="226" spans="1:16" ht="19.5" x14ac:dyDescent="0.3">
      <c r="A226" s="148"/>
      <c r="B226" s="149"/>
      <c r="C226" s="252" t="s">
        <v>16</v>
      </c>
      <c r="D226" s="395" t="s">
        <v>36</v>
      </c>
      <c r="E226" s="151"/>
      <c r="F226" s="151"/>
      <c r="G226" s="152"/>
      <c r="H226" s="153"/>
      <c r="I226" s="144"/>
      <c r="J226" s="144"/>
      <c r="K226" s="145"/>
      <c r="L226" s="145"/>
      <c r="M226" s="145"/>
      <c r="N226" s="145"/>
      <c r="O226" s="145"/>
      <c r="P226" s="145"/>
    </row>
    <row r="227" spans="1:16" ht="18.75" x14ac:dyDescent="0.25">
      <c r="A227" s="148"/>
      <c r="B227" s="149"/>
      <c r="C227" s="149"/>
      <c r="D227" s="254" t="s">
        <v>96</v>
      </c>
      <c r="E227" s="155"/>
      <c r="F227" s="155"/>
      <c r="G227" s="153"/>
      <c r="H227" s="153"/>
      <c r="I227" s="45"/>
      <c r="J227" s="45"/>
      <c r="K227" s="145"/>
      <c r="L227" s="145"/>
      <c r="M227" s="145"/>
      <c r="N227" s="145"/>
      <c r="O227" s="145"/>
      <c r="P227" s="145"/>
    </row>
    <row r="228" spans="1:16" ht="18.75" x14ac:dyDescent="0.25">
      <c r="A228" s="148"/>
      <c r="B228" s="149"/>
      <c r="C228" s="149"/>
      <c r="D228" s="149"/>
      <c r="E228" s="154" t="s">
        <v>97</v>
      </c>
      <c r="F228" s="155"/>
      <c r="G228" s="153"/>
      <c r="H228" s="251" t="s">
        <v>93</v>
      </c>
      <c r="I228" s="169">
        <f ca="1">IFERROR(__xludf.DUMMYFUNCTION("IMPORTRANGE(""https://docs.google.com/spreadsheets/d/1eHaY18a8A9IcSdp1K8H6x8fbOy06t2VsZHhMHf-1x7Y/edit?usp=sharing"",""แผน!AV17"")"),50000)</f>
        <v>50000</v>
      </c>
      <c r="J228" s="250">
        <v>0</v>
      </c>
      <c r="K228" s="163">
        <f ca="1">IF(I228&gt;0,J228*100/I228,0)</f>
        <v>0</v>
      </c>
      <c r="L228" s="145"/>
      <c r="M228" s="145"/>
      <c r="N228" s="145"/>
      <c r="O228" s="145"/>
      <c r="P228" s="145"/>
    </row>
    <row r="229" spans="1:16" ht="18.75" x14ac:dyDescent="0.25">
      <c r="A229" s="148"/>
      <c r="B229" s="149"/>
      <c r="C229" s="149"/>
      <c r="D229" s="149"/>
      <c r="E229" s="154" t="s">
        <v>98</v>
      </c>
      <c r="F229" s="155"/>
      <c r="G229" s="153"/>
      <c r="H229" s="251" t="s">
        <v>93</v>
      </c>
      <c r="I229" s="169">
        <f ca="1">IFERROR(__xludf.DUMMYFUNCTION("IMPORTRANGE(""https://docs.google.com/spreadsheets/d/1eHaY18a8A9IcSdp1K8H6x8fbOy06t2VsZHhMHf-1x7Y/edit?usp=sharing"",""แผน!AV17"")"),50000)</f>
        <v>50000</v>
      </c>
      <c r="J229" s="250">
        <v>0</v>
      </c>
      <c r="K229" s="163">
        <f ca="1">IF(I229&gt;0,J229*100/I229,0)</f>
        <v>0</v>
      </c>
      <c r="L229" s="46"/>
      <c r="M229" s="46"/>
      <c r="N229" s="46"/>
      <c r="O229" s="46"/>
      <c r="P229" s="46"/>
    </row>
    <row r="230" spans="1:16" ht="18.75" x14ac:dyDescent="0.25">
      <c r="A230" s="148"/>
      <c r="B230" s="149"/>
      <c r="C230" s="149"/>
      <c r="D230" s="254" t="s">
        <v>99</v>
      </c>
      <c r="E230" s="155"/>
      <c r="F230" s="155"/>
      <c r="G230" s="153"/>
      <c r="H230" s="251" t="s">
        <v>33</v>
      </c>
      <c r="I230" s="169">
        <f ca="1">IFERROR(__xludf.DUMMYFUNCTION("IMPORTRANGE(""https://docs.google.com/spreadsheets/d/1eHaY18a8A9IcSdp1K8H6x8fbOy06t2VsZHhMHf-1x7Y/edit?usp=sharing"",""แผน!AU17"")"),0)</f>
        <v>0</v>
      </c>
      <c r="J230" s="250">
        <v>0</v>
      </c>
      <c r="K230" s="163">
        <f ca="1">IF(I230&gt;0,J230*100/I230,0)</f>
        <v>0</v>
      </c>
      <c r="L230" s="46"/>
      <c r="M230" s="46"/>
      <c r="N230" s="46"/>
      <c r="O230" s="46"/>
      <c r="P230" s="46"/>
    </row>
    <row r="231" spans="1:16" ht="19.5" hidden="1" x14ac:dyDescent="0.3">
      <c r="A231" s="233"/>
      <c r="B231" s="234"/>
      <c r="C231" s="235" t="s">
        <v>100</v>
      </c>
      <c r="D231" s="236"/>
      <c r="E231" s="236"/>
      <c r="F231" s="236"/>
      <c r="G231" s="237"/>
      <c r="H231" s="238" t="s">
        <v>33</v>
      </c>
      <c r="I231" s="239">
        <f ca="1">I242+I253</f>
        <v>0</v>
      </c>
      <c r="J231" s="239">
        <f>J242+J253</f>
        <v>0</v>
      </c>
      <c r="K231" s="240">
        <f ca="1">IF(I231&gt;0,J231*100/I231,0)</f>
        <v>0</v>
      </c>
      <c r="L231" s="241"/>
      <c r="M231" s="241"/>
      <c r="N231" s="241"/>
      <c r="O231" s="241"/>
      <c r="P231" s="241"/>
    </row>
    <row r="232" spans="1:16" ht="19.5" hidden="1" x14ac:dyDescent="0.3">
      <c r="A232" s="136"/>
      <c r="B232" s="41"/>
      <c r="C232" s="197" t="s">
        <v>16</v>
      </c>
      <c r="D232" s="397" t="s">
        <v>17</v>
      </c>
      <c r="E232" s="41"/>
      <c r="F232" s="41"/>
      <c r="G232" s="43"/>
      <c r="H232" s="243" t="s">
        <v>12</v>
      </c>
      <c r="I232" s="144"/>
      <c r="J232" s="144"/>
      <c r="K232" s="145"/>
      <c r="L232" s="140">
        <f ca="1">L243+L254</f>
        <v>0</v>
      </c>
      <c r="M232" s="46"/>
      <c r="N232" s="140">
        <f>N243+N254</f>
        <v>0</v>
      </c>
      <c r="O232" s="46"/>
      <c r="P232" s="46"/>
    </row>
    <row r="233" spans="1:16" ht="18.75" hidden="1" x14ac:dyDescent="0.25">
      <c r="A233" s="136"/>
      <c r="B233" s="228"/>
      <c r="C233" s="41"/>
      <c r="D233" s="254" t="s">
        <v>80</v>
      </c>
      <c r="E233" s="41"/>
      <c r="F233" s="41"/>
      <c r="G233" s="43"/>
      <c r="H233" s="143" t="s">
        <v>12</v>
      </c>
      <c r="I233" s="144"/>
      <c r="J233" s="144"/>
      <c r="K233" s="145"/>
      <c r="L233" s="47">
        <f ca="1">L244+L255</f>
        <v>0</v>
      </c>
      <c r="M233" s="46"/>
      <c r="N233" s="47">
        <f>N244+N255</f>
        <v>0</v>
      </c>
      <c r="O233" s="46"/>
      <c r="P233" s="46"/>
    </row>
    <row r="234" spans="1:16" ht="18.75" hidden="1" x14ac:dyDescent="0.25">
      <c r="A234" s="227"/>
      <c r="B234" s="228"/>
      <c r="C234" s="228"/>
      <c r="D234" s="254" t="s">
        <v>82</v>
      </c>
      <c r="E234" s="41"/>
      <c r="F234" s="41"/>
      <c r="G234" s="43"/>
      <c r="H234" s="143" t="s">
        <v>12</v>
      </c>
      <c r="I234" s="45"/>
      <c r="J234" s="45"/>
      <c r="K234" s="46"/>
      <c r="L234" s="47">
        <f ca="1">L245+L256</f>
        <v>0</v>
      </c>
      <c r="M234" s="46"/>
      <c r="N234" s="47">
        <f>N245+N256</f>
        <v>0</v>
      </c>
      <c r="O234" s="46"/>
      <c r="P234" s="46"/>
    </row>
    <row r="235" spans="1:16" ht="18.75" hidden="1" x14ac:dyDescent="0.25">
      <c r="A235" s="227"/>
      <c r="B235" s="228"/>
      <c r="C235" s="228"/>
      <c r="D235" s="254" t="s">
        <v>101</v>
      </c>
      <c r="E235" s="41"/>
      <c r="F235" s="41"/>
      <c r="G235" s="43"/>
      <c r="H235" s="143" t="s">
        <v>12</v>
      </c>
      <c r="I235" s="45"/>
      <c r="J235" s="45"/>
      <c r="K235" s="46"/>
      <c r="L235" s="47">
        <f ca="1">L246+L257</f>
        <v>0</v>
      </c>
      <c r="M235" s="46"/>
      <c r="N235" s="47">
        <f>N246+N257</f>
        <v>0</v>
      </c>
      <c r="O235" s="46"/>
      <c r="P235" s="46"/>
    </row>
    <row r="236" spans="1:16" ht="18.75" hidden="1" x14ac:dyDescent="0.25">
      <c r="A236" s="227"/>
      <c r="B236" s="228"/>
      <c r="C236" s="228"/>
      <c r="D236" s="254" t="s">
        <v>102</v>
      </c>
      <c r="E236" s="41"/>
      <c r="F236" s="41"/>
      <c r="G236" s="43"/>
      <c r="H236" s="143" t="s">
        <v>12</v>
      </c>
      <c r="I236" s="45"/>
      <c r="J236" s="45"/>
      <c r="K236" s="46"/>
      <c r="L236" s="47">
        <f ca="1">L247+L258</f>
        <v>0</v>
      </c>
      <c r="M236" s="46"/>
      <c r="N236" s="47">
        <f>N247+N258</f>
        <v>0</v>
      </c>
      <c r="O236" s="46"/>
      <c r="P236" s="46"/>
    </row>
    <row r="237" spans="1:16" ht="19.5" hidden="1" x14ac:dyDescent="0.3">
      <c r="A237" s="148"/>
      <c r="B237" s="149"/>
      <c r="C237" s="252" t="s">
        <v>16</v>
      </c>
      <c r="D237" s="395" t="s">
        <v>36</v>
      </c>
      <c r="E237" s="151"/>
      <c r="F237" s="151"/>
      <c r="G237" s="152"/>
      <c r="H237" s="153"/>
      <c r="I237" s="144"/>
      <c r="J237" s="45"/>
      <c r="K237" s="46"/>
      <c r="L237" s="46"/>
      <c r="M237" s="46"/>
      <c r="N237" s="46"/>
      <c r="O237" s="145"/>
      <c r="P237" s="145"/>
    </row>
    <row r="238" spans="1:16" ht="18.75" hidden="1" x14ac:dyDescent="0.25">
      <c r="A238" s="148"/>
      <c r="B238" s="149"/>
      <c r="C238" s="149"/>
      <c r="D238" s="159" t="s">
        <v>103</v>
      </c>
      <c r="E238" s="155"/>
      <c r="F238" s="155"/>
      <c r="G238" s="153"/>
      <c r="H238" s="251" t="s">
        <v>33</v>
      </c>
      <c r="I238" s="169">
        <f ca="1">I249+I260</f>
        <v>0</v>
      </c>
      <c r="J238" s="169">
        <f>J249+J260</f>
        <v>0</v>
      </c>
      <c r="K238" s="47">
        <f ca="1">IF(I238&gt;0,J238*100/I238,0)</f>
        <v>0</v>
      </c>
      <c r="L238" s="46"/>
      <c r="M238" s="46"/>
      <c r="N238" s="46"/>
      <c r="O238" s="46"/>
      <c r="P238" s="46"/>
    </row>
    <row r="239" spans="1:16" ht="18.75" hidden="1" x14ac:dyDescent="0.25">
      <c r="A239" s="148"/>
      <c r="B239" s="149"/>
      <c r="C239" s="149"/>
      <c r="D239" s="255" t="s">
        <v>41</v>
      </c>
      <c r="E239" s="155"/>
      <c r="F239" s="155"/>
      <c r="G239" s="153"/>
      <c r="H239" s="153"/>
      <c r="I239" s="45"/>
      <c r="J239" s="45"/>
      <c r="K239" s="46"/>
      <c r="L239" s="46"/>
      <c r="M239" s="46"/>
      <c r="N239" s="46"/>
      <c r="O239" s="145"/>
      <c r="P239" s="145"/>
    </row>
    <row r="240" spans="1:16" ht="18.75" hidden="1" x14ac:dyDescent="0.25">
      <c r="A240" s="148"/>
      <c r="B240" s="149"/>
      <c r="C240" s="149"/>
      <c r="D240" s="149"/>
      <c r="E240" s="154" t="s">
        <v>104</v>
      </c>
      <c r="F240" s="155"/>
      <c r="G240" s="153"/>
      <c r="H240" s="251" t="s">
        <v>33</v>
      </c>
      <c r="I240" s="169">
        <f>I251+I262</f>
        <v>0</v>
      </c>
      <c r="J240" s="169">
        <f>J251+J262</f>
        <v>0</v>
      </c>
      <c r="K240" s="47">
        <f>IF(I240&gt;0,J240*100/I240,0)</f>
        <v>0</v>
      </c>
      <c r="L240" s="46"/>
      <c r="M240" s="46"/>
      <c r="N240" s="46"/>
      <c r="O240" s="46"/>
      <c r="P240" s="46"/>
    </row>
    <row r="241" spans="1:16" ht="18.75" hidden="1" x14ac:dyDescent="0.25">
      <c r="A241" s="148"/>
      <c r="B241" s="149"/>
      <c r="C241" s="149"/>
      <c r="D241" s="149"/>
      <c r="E241" s="154" t="s">
        <v>105</v>
      </c>
      <c r="F241" s="155"/>
      <c r="G241" s="153"/>
      <c r="H241" s="251" t="s">
        <v>54</v>
      </c>
      <c r="I241" s="169">
        <f>I252+I263</f>
        <v>0</v>
      </c>
      <c r="J241" s="169">
        <f>J252+J263</f>
        <v>0</v>
      </c>
      <c r="K241" s="47">
        <f>IF(I241&gt;0,J241*100/I241,0)</f>
        <v>0</v>
      </c>
      <c r="L241" s="46"/>
      <c r="M241" s="46"/>
      <c r="N241" s="46"/>
      <c r="O241" s="46"/>
      <c r="P241" s="46"/>
    </row>
    <row r="242" spans="1:16" ht="19.5" hidden="1" x14ac:dyDescent="0.3">
      <c r="A242" s="233"/>
      <c r="B242" s="234"/>
      <c r="C242" s="256" t="s">
        <v>106</v>
      </c>
      <c r="D242" s="236"/>
      <c r="E242" s="236"/>
      <c r="F242" s="236"/>
      <c r="G242" s="237"/>
      <c r="H242" s="257" t="s">
        <v>33</v>
      </c>
      <c r="I242" s="258">
        <f ca="1">I249</f>
        <v>0</v>
      </c>
      <c r="J242" s="258">
        <f>J249</f>
        <v>0</v>
      </c>
      <c r="K242" s="259">
        <f ca="1">IF(I242&gt;0,J242*100/I242,0)</f>
        <v>0</v>
      </c>
      <c r="L242" s="241"/>
      <c r="M242" s="241"/>
      <c r="N242" s="241"/>
      <c r="O242" s="241"/>
      <c r="P242" s="241"/>
    </row>
    <row r="243" spans="1:16" ht="19.5" hidden="1" x14ac:dyDescent="0.3">
      <c r="A243" s="136"/>
      <c r="B243" s="41"/>
      <c r="C243" s="260" t="s">
        <v>16</v>
      </c>
      <c r="D243" s="261" t="s">
        <v>17</v>
      </c>
      <c r="E243" s="41"/>
      <c r="F243" s="41"/>
      <c r="G243" s="43"/>
      <c r="H243" s="262" t="s">
        <v>12</v>
      </c>
      <c r="I243" s="144"/>
      <c r="J243" s="144"/>
      <c r="K243" s="145"/>
      <c r="L243" s="263">
        <f ca="1">L244+L245+L246+L247</f>
        <v>0</v>
      </c>
      <c r="M243" s="46"/>
      <c r="N243" s="263">
        <f>N244+N245+N246+N247</f>
        <v>0</v>
      </c>
      <c r="O243" s="263">
        <f ca="1">IF(L243&gt;0,N243*100/L243,0)</f>
        <v>0</v>
      </c>
      <c r="P243" s="263">
        <f>IF(M243&gt;0,N243*100/M243,0)</f>
        <v>0</v>
      </c>
    </row>
    <row r="244" spans="1:16" ht="18.75" hidden="1" x14ac:dyDescent="0.25">
      <c r="A244" s="136"/>
      <c r="B244" s="228"/>
      <c r="C244" s="41"/>
      <c r="D244" s="279" t="s">
        <v>80</v>
      </c>
      <c r="E244" s="41"/>
      <c r="F244" s="41"/>
      <c r="G244" s="43"/>
      <c r="H244" s="146" t="s">
        <v>12</v>
      </c>
      <c r="I244" s="144"/>
      <c r="J244" s="144"/>
      <c r="K244" s="145"/>
      <c r="L244" s="50">
        <f ca="1">IFERROR(__xludf.DUMMYFUNCTION("IMPORTRANGE(""https://docs.google.com/spreadsheets/d/1eHaY18a8A9IcSdp1K8H6x8fbOy06t2VsZHhMHf-1x7Y/edit?usp=sharing"",""แผน!AX17"")"),0)</f>
        <v>0</v>
      </c>
      <c r="M244" s="46"/>
      <c r="N244" s="264">
        <v>0</v>
      </c>
      <c r="O244" s="46"/>
      <c r="P244" s="46"/>
    </row>
    <row r="245" spans="1:16" ht="18.75" hidden="1" x14ac:dyDescent="0.25">
      <c r="A245" s="227"/>
      <c r="B245" s="228"/>
      <c r="C245" s="228"/>
      <c r="D245" s="279" t="s">
        <v>82</v>
      </c>
      <c r="E245" s="41"/>
      <c r="F245" s="41"/>
      <c r="G245" s="43"/>
      <c r="H245" s="146" t="s">
        <v>12</v>
      </c>
      <c r="I245" s="45"/>
      <c r="J245" s="45"/>
      <c r="K245" s="46"/>
      <c r="L245" s="50">
        <f ca="1">IFERROR(__xludf.DUMMYFUNCTION("IMPORTRANGE(""https://docs.google.com/spreadsheets/d/1eHaY18a8A9IcSdp1K8H6x8fbOy06t2VsZHhMHf-1x7Y/edit?usp=sharing"",""แผน!AY17"")"),0)</f>
        <v>0</v>
      </c>
      <c r="M245" s="46"/>
      <c r="N245" s="264">
        <v>0</v>
      </c>
      <c r="O245" s="46"/>
      <c r="P245" s="46"/>
    </row>
    <row r="246" spans="1:16" ht="18.75" hidden="1" x14ac:dyDescent="0.25">
      <c r="A246" s="227"/>
      <c r="B246" s="228"/>
      <c r="C246" s="228"/>
      <c r="D246" s="279" t="s">
        <v>101</v>
      </c>
      <c r="E246" s="41"/>
      <c r="F246" s="41"/>
      <c r="G246" s="43"/>
      <c r="H246" s="146" t="s">
        <v>12</v>
      </c>
      <c r="I246" s="45"/>
      <c r="J246" s="45"/>
      <c r="K246" s="46"/>
      <c r="L246" s="50">
        <f ca="1">IFERROR(__xludf.DUMMYFUNCTION("IMPORTRANGE(""https://docs.google.com/spreadsheets/d/1eHaY18a8A9IcSdp1K8H6x8fbOy06t2VsZHhMHf-1x7Y/edit?usp=sharing"",""แผน!AZ17"")"),0)</f>
        <v>0</v>
      </c>
      <c r="M246" s="46"/>
      <c r="N246" s="264">
        <v>0</v>
      </c>
      <c r="O246" s="46"/>
      <c r="P246" s="46"/>
    </row>
    <row r="247" spans="1:16" ht="18.75" hidden="1" x14ac:dyDescent="0.25">
      <c r="A247" s="227"/>
      <c r="B247" s="228"/>
      <c r="C247" s="228"/>
      <c r="D247" s="279" t="s">
        <v>102</v>
      </c>
      <c r="E247" s="41"/>
      <c r="F247" s="41"/>
      <c r="G247" s="43"/>
      <c r="H247" s="146" t="s">
        <v>12</v>
      </c>
      <c r="I247" s="45"/>
      <c r="J247" s="45"/>
      <c r="K247" s="46"/>
      <c r="L247" s="50">
        <f ca="1">IFERROR(__xludf.DUMMYFUNCTION("IMPORTRANGE(""https://docs.google.com/spreadsheets/d/1eHaY18a8A9IcSdp1K8H6x8fbOy06t2VsZHhMHf-1x7Y/edit?usp=sharing"",""แผน!BA17"")"),0)</f>
        <v>0</v>
      </c>
      <c r="M247" s="46"/>
      <c r="N247" s="264">
        <v>0</v>
      </c>
      <c r="O247" s="46"/>
      <c r="P247" s="46"/>
    </row>
    <row r="248" spans="1:16" ht="19.5" hidden="1" x14ac:dyDescent="0.3">
      <c r="A248" s="148"/>
      <c r="B248" s="149"/>
      <c r="C248" s="265" t="s">
        <v>16</v>
      </c>
      <c r="D248" s="394" t="s">
        <v>36</v>
      </c>
      <c r="E248" s="151"/>
      <c r="F248" s="151"/>
      <c r="G248" s="152"/>
      <c r="H248" s="153"/>
      <c r="I248" s="144"/>
      <c r="J248" s="45"/>
      <c r="K248" s="46"/>
      <c r="L248" s="46"/>
      <c r="M248" s="46"/>
      <c r="N248" s="46"/>
      <c r="O248" s="145"/>
      <c r="P248" s="145"/>
    </row>
    <row r="249" spans="1:16" ht="18.75" hidden="1" x14ac:dyDescent="0.25">
      <c r="A249" s="148"/>
      <c r="B249" s="149"/>
      <c r="C249" s="149"/>
      <c r="D249" s="267" t="s">
        <v>103</v>
      </c>
      <c r="E249" s="155"/>
      <c r="F249" s="155"/>
      <c r="G249" s="153"/>
      <c r="H249" s="268" t="s">
        <v>33</v>
      </c>
      <c r="I249" s="200">
        <f ca="1">IFERROR(__xludf.DUMMYFUNCTION("IMPORTRANGE(""https://docs.google.com/spreadsheets/d/1eHaY18a8A9IcSdp1K8H6x8fbOy06t2VsZHhMHf-1x7Y/edit?usp=sharing"",""แผน!BG17"")"),0)</f>
        <v>0</v>
      </c>
      <c r="J249" s="201">
        <v>0</v>
      </c>
      <c r="K249" s="50">
        <f ca="1">IF(I249&gt;0,J249*100/I249,0)</f>
        <v>0</v>
      </c>
      <c r="L249" s="46"/>
      <c r="M249" s="46"/>
      <c r="N249" s="46"/>
      <c r="O249" s="46"/>
      <c r="P249" s="46"/>
    </row>
    <row r="250" spans="1:16" ht="18.75" hidden="1" x14ac:dyDescent="0.25">
      <c r="A250" s="148"/>
      <c r="B250" s="149"/>
      <c r="C250" s="149"/>
      <c r="D250" s="269" t="s">
        <v>41</v>
      </c>
      <c r="E250" s="155"/>
      <c r="F250" s="155"/>
      <c r="G250" s="153"/>
      <c r="H250" s="153"/>
      <c r="I250" s="45"/>
      <c r="J250" s="45"/>
      <c r="K250" s="46"/>
      <c r="L250" s="46"/>
      <c r="M250" s="46"/>
      <c r="N250" s="46"/>
      <c r="O250" s="145"/>
      <c r="P250" s="145"/>
    </row>
    <row r="251" spans="1:16" ht="18.75" hidden="1" x14ac:dyDescent="0.25">
      <c r="A251" s="148"/>
      <c r="B251" s="149"/>
      <c r="C251" s="149"/>
      <c r="D251" s="149"/>
      <c r="E251" s="270" t="s">
        <v>104</v>
      </c>
      <c r="F251" s="155"/>
      <c r="G251" s="153"/>
      <c r="H251" s="268" t="s">
        <v>33</v>
      </c>
      <c r="I251" s="200">
        <v>0</v>
      </c>
      <c r="J251" s="201">
        <v>0</v>
      </c>
      <c r="K251" s="50">
        <f>IF(I251&gt;0,J251*100/I251,0)</f>
        <v>0</v>
      </c>
      <c r="L251" s="46"/>
      <c r="M251" s="46"/>
      <c r="N251" s="46"/>
      <c r="O251" s="46"/>
      <c r="P251" s="46"/>
    </row>
    <row r="252" spans="1:16" ht="18.75" hidden="1" x14ac:dyDescent="0.25">
      <c r="A252" s="148"/>
      <c r="B252" s="149"/>
      <c r="C252" s="149"/>
      <c r="D252" s="149"/>
      <c r="E252" s="270" t="s">
        <v>105</v>
      </c>
      <c r="F252" s="155"/>
      <c r="G252" s="153"/>
      <c r="H252" s="268" t="s">
        <v>54</v>
      </c>
      <c r="I252" s="200">
        <v>0</v>
      </c>
      <c r="J252" s="201">
        <v>0</v>
      </c>
      <c r="K252" s="50">
        <f>IF(I252&gt;0,J252*100/I252,0)</f>
        <v>0</v>
      </c>
      <c r="L252" s="46"/>
      <c r="M252" s="46"/>
      <c r="N252" s="46"/>
      <c r="O252" s="46"/>
      <c r="P252" s="46"/>
    </row>
    <row r="253" spans="1:16" ht="19.5" hidden="1" x14ac:dyDescent="0.3">
      <c r="A253" s="233"/>
      <c r="B253" s="234"/>
      <c r="C253" s="256" t="s">
        <v>107</v>
      </c>
      <c r="D253" s="236"/>
      <c r="E253" s="236"/>
      <c r="F253" s="236"/>
      <c r="G253" s="237"/>
      <c r="H253" s="257" t="s">
        <v>33</v>
      </c>
      <c r="I253" s="258">
        <f ca="1">I260</f>
        <v>0</v>
      </c>
      <c r="J253" s="258">
        <f>J260</f>
        <v>0</v>
      </c>
      <c r="K253" s="259">
        <f ca="1">IF(I253&gt;0,J253*100/I253,0)</f>
        <v>0</v>
      </c>
      <c r="L253" s="241"/>
      <c r="M253" s="241"/>
      <c r="N253" s="241"/>
      <c r="O253" s="241"/>
      <c r="P253" s="241"/>
    </row>
    <row r="254" spans="1:16" ht="19.5" hidden="1" x14ac:dyDescent="0.3">
      <c r="A254" s="136"/>
      <c r="B254" s="41"/>
      <c r="C254" s="260" t="s">
        <v>16</v>
      </c>
      <c r="D254" s="399" t="s">
        <v>17</v>
      </c>
      <c r="E254" s="41"/>
      <c r="F254" s="41"/>
      <c r="G254" s="43"/>
      <c r="H254" s="262" t="s">
        <v>12</v>
      </c>
      <c r="I254" s="144"/>
      <c r="J254" s="144"/>
      <c r="K254" s="145"/>
      <c r="L254" s="263">
        <f ca="1">L255+L256+L257+L258</f>
        <v>0</v>
      </c>
      <c r="M254" s="46"/>
      <c r="N254" s="263">
        <f>N255+N256+N257+N258</f>
        <v>0</v>
      </c>
      <c r="O254" s="263">
        <f ca="1">IF(L254&gt;0,N254*100/L254,0)</f>
        <v>0</v>
      </c>
      <c r="P254" s="263">
        <f>IF(M254&gt;0,N254*100/M254,0)</f>
        <v>0</v>
      </c>
    </row>
    <row r="255" spans="1:16" ht="18.75" hidden="1" x14ac:dyDescent="0.25">
      <c r="A255" s="136"/>
      <c r="B255" s="228"/>
      <c r="C255" s="41"/>
      <c r="D255" s="279" t="s">
        <v>80</v>
      </c>
      <c r="E255" s="41"/>
      <c r="F255" s="41"/>
      <c r="G255" s="43"/>
      <c r="H255" s="146" t="s">
        <v>12</v>
      </c>
      <c r="I255" s="144"/>
      <c r="J255" s="144"/>
      <c r="K255" s="145"/>
      <c r="L255" s="50">
        <f ca="1">IFERROR(__xludf.DUMMYFUNCTION("IMPORTRANGE(""https://docs.google.com/spreadsheets/d/1eHaY18a8A9IcSdp1K8H6x8fbOy06t2VsZHhMHf-1x7Y/edit?usp=sharing"",""แผน!BB17"")"),0)</f>
        <v>0</v>
      </c>
      <c r="M255" s="46"/>
      <c r="N255" s="264">
        <v>0</v>
      </c>
      <c r="O255" s="46"/>
      <c r="P255" s="46"/>
    </row>
    <row r="256" spans="1:16" ht="18.75" hidden="1" x14ac:dyDescent="0.25">
      <c r="A256" s="227"/>
      <c r="B256" s="228"/>
      <c r="C256" s="228"/>
      <c r="D256" s="279" t="s">
        <v>82</v>
      </c>
      <c r="E256" s="41"/>
      <c r="F256" s="41"/>
      <c r="G256" s="43"/>
      <c r="H256" s="146" t="s">
        <v>12</v>
      </c>
      <c r="I256" s="45"/>
      <c r="J256" s="45"/>
      <c r="K256" s="46"/>
      <c r="L256" s="50">
        <f ca="1">IFERROR(__xludf.DUMMYFUNCTION("IMPORTRANGE(""https://docs.google.com/spreadsheets/d/1eHaY18a8A9IcSdp1K8H6x8fbOy06t2VsZHhMHf-1x7Y/edit?usp=sharing"",""แผน!BC17"")"),0)</f>
        <v>0</v>
      </c>
      <c r="M256" s="46"/>
      <c r="N256" s="264">
        <v>0</v>
      </c>
      <c r="O256" s="46"/>
      <c r="P256" s="46"/>
    </row>
    <row r="257" spans="1:16" ht="18.75" hidden="1" x14ac:dyDescent="0.25">
      <c r="A257" s="227"/>
      <c r="B257" s="228"/>
      <c r="C257" s="228"/>
      <c r="D257" s="279" t="s">
        <v>101</v>
      </c>
      <c r="E257" s="41"/>
      <c r="F257" s="41"/>
      <c r="G257" s="43"/>
      <c r="H257" s="146" t="s">
        <v>12</v>
      </c>
      <c r="I257" s="45"/>
      <c r="J257" s="45"/>
      <c r="K257" s="46"/>
      <c r="L257" s="50">
        <f ca="1">IFERROR(__xludf.DUMMYFUNCTION("IMPORTRANGE(""https://docs.google.com/spreadsheets/d/1eHaY18a8A9IcSdp1K8H6x8fbOy06t2VsZHhMHf-1x7Y/edit?usp=sharing"",""แผน!BD17"")"),0)</f>
        <v>0</v>
      </c>
      <c r="M257" s="46"/>
      <c r="N257" s="264">
        <v>0</v>
      </c>
      <c r="O257" s="46"/>
      <c r="P257" s="46"/>
    </row>
    <row r="258" spans="1:16" ht="18.75" hidden="1" x14ac:dyDescent="0.25">
      <c r="A258" s="227"/>
      <c r="B258" s="228"/>
      <c r="C258" s="228"/>
      <c r="D258" s="279" t="s">
        <v>102</v>
      </c>
      <c r="E258" s="41"/>
      <c r="F258" s="41"/>
      <c r="G258" s="43"/>
      <c r="H258" s="146" t="s">
        <v>12</v>
      </c>
      <c r="I258" s="45"/>
      <c r="J258" s="45"/>
      <c r="K258" s="46"/>
      <c r="L258" s="50">
        <f ca="1">IFERROR(__xludf.DUMMYFUNCTION("IMPORTRANGE(""https://docs.google.com/spreadsheets/d/1eHaY18a8A9IcSdp1K8H6x8fbOy06t2VsZHhMHf-1x7Y/edit?usp=sharing"",""แผน!BE17"")"),0)</f>
        <v>0</v>
      </c>
      <c r="M258" s="46"/>
      <c r="N258" s="264">
        <v>0</v>
      </c>
      <c r="O258" s="46"/>
      <c r="P258" s="46"/>
    </row>
    <row r="259" spans="1:16" ht="19.5" hidden="1" x14ac:dyDescent="0.3">
      <c r="A259" s="148"/>
      <c r="B259" s="149"/>
      <c r="C259" s="265" t="s">
        <v>16</v>
      </c>
      <c r="D259" s="394" t="s">
        <v>36</v>
      </c>
      <c r="E259" s="151"/>
      <c r="F259" s="151"/>
      <c r="G259" s="152"/>
      <c r="H259" s="153"/>
      <c r="I259" s="144"/>
      <c r="J259" s="45"/>
      <c r="K259" s="46"/>
      <c r="L259" s="46"/>
      <c r="M259" s="46"/>
      <c r="N259" s="46"/>
      <c r="O259" s="145"/>
      <c r="P259" s="145"/>
    </row>
    <row r="260" spans="1:16" ht="18.75" hidden="1" x14ac:dyDescent="0.25">
      <c r="A260" s="148"/>
      <c r="B260" s="149"/>
      <c r="C260" s="149"/>
      <c r="D260" s="267" t="s">
        <v>103</v>
      </c>
      <c r="E260" s="155"/>
      <c r="F260" s="155"/>
      <c r="G260" s="153"/>
      <c r="H260" s="268" t="s">
        <v>33</v>
      </c>
      <c r="I260" s="200">
        <f ca="1">IFERROR(__xludf.DUMMYFUNCTION("IMPORTRANGE(""https://docs.google.com/spreadsheets/d/1eHaY18a8A9IcSdp1K8H6x8fbOy06t2VsZHhMHf-1x7Y/edit?usp=sharing"",""แผน!BH17"")"),0)</f>
        <v>0</v>
      </c>
      <c r="J260" s="201">
        <v>0</v>
      </c>
      <c r="K260" s="50">
        <f ca="1">IF(I260&gt;0,J260*100/I260,0)</f>
        <v>0</v>
      </c>
      <c r="L260" s="46"/>
      <c r="M260" s="46"/>
      <c r="N260" s="46"/>
      <c r="O260" s="46"/>
      <c r="P260" s="46"/>
    </row>
    <row r="261" spans="1:16" ht="18.75" hidden="1" x14ac:dyDescent="0.25">
      <c r="A261" s="148"/>
      <c r="B261" s="149"/>
      <c r="C261" s="149"/>
      <c r="D261" s="269" t="s">
        <v>41</v>
      </c>
      <c r="E261" s="155"/>
      <c r="F261" s="155"/>
      <c r="G261" s="153"/>
      <c r="H261" s="153"/>
      <c r="I261" s="45"/>
      <c r="J261" s="45"/>
      <c r="K261" s="46"/>
      <c r="L261" s="46"/>
      <c r="M261" s="46"/>
      <c r="N261" s="46"/>
      <c r="O261" s="145"/>
      <c r="P261" s="145"/>
    </row>
    <row r="262" spans="1:16" ht="18.75" hidden="1" x14ac:dyDescent="0.25">
      <c r="A262" s="148"/>
      <c r="B262" s="149"/>
      <c r="C262" s="149"/>
      <c r="D262" s="149"/>
      <c r="E262" s="270" t="s">
        <v>104</v>
      </c>
      <c r="F262" s="155"/>
      <c r="G262" s="153"/>
      <c r="H262" s="268" t="s">
        <v>33</v>
      </c>
      <c r="I262" s="45"/>
      <c r="J262" s="201">
        <v>0</v>
      </c>
      <c r="K262" s="50">
        <f>IF(I262&gt;0,J262*100/I262,0)</f>
        <v>0</v>
      </c>
      <c r="L262" s="46"/>
      <c r="M262" s="46"/>
      <c r="N262" s="46"/>
      <c r="O262" s="46"/>
      <c r="P262" s="46"/>
    </row>
    <row r="263" spans="1:16" ht="18.75" hidden="1" x14ac:dyDescent="0.25">
      <c r="A263" s="148"/>
      <c r="B263" s="149"/>
      <c r="C263" s="149"/>
      <c r="D263" s="149"/>
      <c r="E263" s="270" t="s">
        <v>105</v>
      </c>
      <c r="F263" s="155"/>
      <c r="G263" s="153"/>
      <c r="H263" s="268" t="s">
        <v>54</v>
      </c>
      <c r="I263" s="45"/>
      <c r="J263" s="201">
        <v>0</v>
      </c>
      <c r="K263" s="50">
        <f>IF(I263&gt;0,J263*100/I263,0)</f>
        <v>0</v>
      </c>
      <c r="L263" s="46"/>
      <c r="M263" s="46"/>
      <c r="N263" s="46"/>
      <c r="O263" s="46"/>
      <c r="P263" s="46"/>
    </row>
    <row r="264" spans="1:16" ht="19.5" hidden="1" x14ac:dyDescent="0.3">
      <c r="A264" s="272" t="s">
        <v>108</v>
      </c>
      <c r="B264" s="215"/>
      <c r="C264" s="215"/>
      <c r="D264" s="216"/>
      <c r="E264" s="216"/>
      <c r="F264" s="216"/>
      <c r="G264" s="217"/>
      <c r="H264" s="217"/>
      <c r="I264" s="218"/>
      <c r="J264" s="218"/>
      <c r="K264" s="219"/>
      <c r="L264" s="219"/>
      <c r="M264" s="219"/>
      <c r="N264" s="219"/>
      <c r="O264" s="219"/>
      <c r="P264" s="219"/>
    </row>
    <row r="265" spans="1:16" ht="19.5" hidden="1" x14ac:dyDescent="0.3">
      <c r="A265" s="220"/>
      <c r="B265" s="273" t="s">
        <v>109</v>
      </c>
      <c r="C265" s="222"/>
      <c r="D265" s="151"/>
      <c r="E265" s="151"/>
      <c r="F265" s="151"/>
      <c r="G265" s="152"/>
      <c r="H265" s="274" t="s">
        <v>33</v>
      </c>
      <c r="I265" s="275">
        <f>I276</f>
        <v>0</v>
      </c>
      <c r="J265" s="275">
        <f>J276</f>
        <v>0</v>
      </c>
      <c r="K265" s="276">
        <f>IF(I265&gt;0,J265*100/I265,0)</f>
        <v>0</v>
      </c>
      <c r="L265" s="226"/>
      <c r="M265" s="226"/>
      <c r="N265" s="226"/>
      <c r="O265" s="226"/>
      <c r="P265" s="226"/>
    </row>
    <row r="266" spans="1:16" ht="19.5" hidden="1" x14ac:dyDescent="0.3">
      <c r="A266" s="136"/>
      <c r="B266" s="41"/>
      <c r="C266" s="260" t="s">
        <v>16</v>
      </c>
      <c r="D266" s="261" t="s">
        <v>17</v>
      </c>
      <c r="E266" s="41"/>
      <c r="F266" s="41"/>
      <c r="G266" s="43"/>
      <c r="H266" s="277" t="s">
        <v>12</v>
      </c>
      <c r="I266" s="45"/>
      <c r="J266" s="45"/>
      <c r="K266" s="46"/>
      <c r="L266" s="263">
        <f ca="1">L267+L268</f>
        <v>0</v>
      </c>
      <c r="M266" s="263">
        <f ca="1">M267+M268</f>
        <v>0</v>
      </c>
      <c r="N266" s="263">
        <f ca="1">N267+N268</f>
        <v>0</v>
      </c>
      <c r="O266" s="263">
        <f ca="1">IF(L266&gt;0,N266*100/L266,0)</f>
        <v>0</v>
      </c>
      <c r="P266" s="263">
        <f ca="1">IF(M266&gt;0,N266*100/M266,0)</f>
        <v>0</v>
      </c>
    </row>
    <row r="267" spans="1:16" ht="18.75" hidden="1" x14ac:dyDescent="0.25">
      <c r="A267" s="136"/>
      <c r="B267" s="41"/>
      <c r="C267" s="41"/>
      <c r="D267" s="41"/>
      <c r="E267" s="279" t="s">
        <v>18</v>
      </c>
      <c r="F267" s="41"/>
      <c r="G267" s="43"/>
      <c r="H267" s="141" t="s">
        <v>12</v>
      </c>
      <c r="I267" s="45"/>
      <c r="J267" s="45"/>
      <c r="K267" s="46"/>
      <c r="L267" s="50">
        <f>L270+L273</f>
        <v>0</v>
      </c>
      <c r="M267" s="50">
        <f>M270+M273</f>
        <v>0</v>
      </c>
      <c r="N267" s="50">
        <f>N270+N273</f>
        <v>0</v>
      </c>
      <c r="O267" s="50">
        <f>IF(L267&gt;0,N267*100/L267,0)</f>
        <v>0</v>
      </c>
      <c r="P267" s="50">
        <f>IF(M267&gt;0,N267*100/M267,0)</f>
        <v>0</v>
      </c>
    </row>
    <row r="268" spans="1:16" ht="18.75" hidden="1" x14ac:dyDescent="0.25">
      <c r="A268" s="136"/>
      <c r="B268" s="41"/>
      <c r="C268" s="41"/>
      <c r="D268" s="41"/>
      <c r="E268" s="279" t="s">
        <v>19</v>
      </c>
      <c r="F268" s="41"/>
      <c r="G268" s="43"/>
      <c r="H268" s="141" t="s">
        <v>12</v>
      </c>
      <c r="I268" s="45"/>
      <c r="J268" s="45"/>
      <c r="K268" s="46"/>
      <c r="L268" s="50">
        <f ca="1">L271+L274</f>
        <v>0</v>
      </c>
      <c r="M268" s="50">
        <f ca="1">M271+M274</f>
        <v>0</v>
      </c>
      <c r="N268" s="50">
        <f ca="1">N271+N274</f>
        <v>0</v>
      </c>
      <c r="O268" s="50">
        <f ca="1">IF(L268&gt;0,N268*100/L268,0)</f>
        <v>0</v>
      </c>
      <c r="P268" s="50">
        <f ca="1">IF(M268&gt;0,N268*100/M268,0)</f>
        <v>0</v>
      </c>
    </row>
    <row r="269" spans="1:16" ht="18.75" hidden="1" x14ac:dyDescent="0.25">
      <c r="A269" s="136"/>
      <c r="B269" s="41"/>
      <c r="C269" s="41"/>
      <c r="D269" s="278" t="s">
        <v>20</v>
      </c>
      <c r="E269" s="41"/>
      <c r="F269" s="41"/>
      <c r="G269" s="43"/>
      <c r="H269" s="146" t="s">
        <v>12</v>
      </c>
      <c r="I269" s="144"/>
      <c r="J269" s="144"/>
      <c r="K269" s="145"/>
      <c r="L269" s="50">
        <f ca="1">L270+L271</f>
        <v>0</v>
      </c>
      <c r="M269" s="50">
        <f ca="1">M270+M271</f>
        <v>0</v>
      </c>
      <c r="N269" s="50">
        <f ca="1">N270+N271</f>
        <v>0</v>
      </c>
      <c r="O269" s="50">
        <f ca="1">IF(L269&gt;0,N269*100/L269,0)</f>
        <v>0</v>
      </c>
      <c r="P269" s="50">
        <f ca="1">IF(M269&gt;0,N269*100/M269,0)</f>
        <v>0</v>
      </c>
    </row>
    <row r="270" spans="1:16" ht="18.75" hidden="1" x14ac:dyDescent="0.25">
      <c r="A270" s="136"/>
      <c r="B270" s="41"/>
      <c r="C270" s="41"/>
      <c r="D270" s="41"/>
      <c r="E270" s="279" t="s">
        <v>34</v>
      </c>
      <c r="F270" s="41"/>
      <c r="G270" s="43"/>
      <c r="H270" s="146" t="s">
        <v>12</v>
      </c>
      <c r="I270" s="144"/>
      <c r="J270" s="144"/>
      <c r="K270" s="145"/>
      <c r="L270" s="50">
        <v>0</v>
      </c>
      <c r="M270" s="50">
        <v>0</v>
      </c>
      <c r="N270" s="50">
        <v>0</v>
      </c>
      <c r="O270" s="50">
        <f>IF(L270&gt;0,N270*100/L270,0)</f>
        <v>0</v>
      </c>
      <c r="P270" s="50">
        <f>IF(M270&gt;0,N270*100/M270,0)</f>
        <v>0</v>
      </c>
    </row>
    <row r="271" spans="1:16" ht="18.75" hidden="1" x14ac:dyDescent="0.25">
      <c r="A271" s="136"/>
      <c r="B271" s="41"/>
      <c r="C271" s="41"/>
      <c r="D271" s="41"/>
      <c r="E271" s="279" t="s">
        <v>35</v>
      </c>
      <c r="F271" s="41"/>
      <c r="G271" s="43"/>
      <c r="H271" s="146" t="s">
        <v>12</v>
      </c>
      <c r="I271" s="144"/>
      <c r="J271" s="144"/>
      <c r="K271" s="145"/>
      <c r="L271" s="50">
        <f ca="1">IFERROR(__xludf.DUMMYFUNCTION("IMPORTRANGE(""https://docs.google.com/spreadsheets/d/1-uDff_7J0KD5mKrp0Vvzr7lt3OU09vwQwhkpOPPYv2Y/edit?usp=sharing"",""งบพรบ!DE17"")"),0)</f>
        <v>0</v>
      </c>
      <c r="M271" s="50">
        <f ca="1">IFERROR(__xludf.DUMMYFUNCTION("IMPORTRANGE(""https://docs.google.com/spreadsheets/d/1-uDff_7J0KD5mKrp0Vvzr7lt3OU09vwQwhkpOPPYv2Y/edit?usp=sharing"",""งบพรบ!DJ17"")"),0)</f>
        <v>0</v>
      </c>
      <c r="N271" s="50">
        <f ca="1">IFERROR(__xludf.DUMMYFUNCTION("IMPORTRANGE(""https://docs.google.com/spreadsheets/d/1-uDff_7J0KD5mKrp0Vvzr7lt3OU09vwQwhkpOPPYv2Y/edit?usp=sharing"",""งบพรบ!DL17"")"),0)</f>
        <v>0</v>
      </c>
      <c r="O271" s="50">
        <f ca="1">IF(L271&gt;0,N271*100/L271,0)</f>
        <v>0</v>
      </c>
      <c r="P271" s="50">
        <f ca="1">IF(M271&gt;0,N271*100/M271,0)</f>
        <v>0</v>
      </c>
    </row>
    <row r="272" spans="1:16" ht="18.75" hidden="1" x14ac:dyDescent="0.25">
      <c r="A272" s="136"/>
      <c r="B272" s="41"/>
      <c r="C272" s="41"/>
      <c r="D272" s="278" t="s">
        <v>21</v>
      </c>
      <c r="E272" s="41"/>
      <c r="F272" s="41"/>
      <c r="G272" s="43"/>
      <c r="H272" s="199" t="s">
        <v>12</v>
      </c>
      <c r="I272" s="144"/>
      <c r="J272" s="144"/>
      <c r="K272" s="145"/>
      <c r="L272" s="50">
        <f ca="1">L273+L274</f>
        <v>0</v>
      </c>
      <c r="M272" s="50">
        <f ca="1">M273+M274</f>
        <v>0</v>
      </c>
      <c r="N272" s="50">
        <f ca="1">N273+N274</f>
        <v>0</v>
      </c>
      <c r="O272" s="50">
        <f ca="1">IF(L272&gt;0,N272*100/L272,0)</f>
        <v>0</v>
      </c>
      <c r="P272" s="50">
        <f ca="1">IF(M272&gt;0,N272*100/M272,0)</f>
        <v>0</v>
      </c>
    </row>
    <row r="273" spans="1:16" ht="18.75" hidden="1" x14ac:dyDescent="0.25">
      <c r="A273" s="136"/>
      <c r="B273" s="41"/>
      <c r="C273" s="41"/>
      <c r="D273" s="41"/>
      <c r="E273" s="279" t="s">
        <v>18</v>
      </c>
      <c r="F273" s="41"/>
      <c r="G273" s="43"/>
      <c r="H273" s="146" t="s">
        <v>12</v>
      </c>
      <c r="I273" s="144"/>
      <c r="J273" s="144"/>
      <c r="K273" s="145"/>
      <c r="L273" s="50">
        <v>0</v>
      </c>
      <c r="M273" s="50">
        <v>0</v>
      </c>
      <c r="N273" s="50">
        <v>0</v>
      </c>
      <c r="O273" s="50">
        <f>IF(L273&gt;0,N273*100/L273,0)</f>
        <v>0</v>
      </c>
      <c r="P273" s="50">
        <f>IF(M273&gt;0,N273*100/M273,0)</f>
        <v>0</v>
      </c>
    </row>
    <row r="274" spans="1:16" ht="18.75" hidden="1" x14ac:dyDescent="0.25">
      <c r="A274" s="136"/>
      <c r="B274" s="41"/>
      <c r="C274" s="41"/>
      <c r="D274" s="41"/>
      <c r="E274" s="279" t="s">
        <v>19</v>
      </c>
      <c r="F274" s="41"/>
      <c r="G274" s="43"/>
      <c r="H274" s="199" t="s">
        <v>12</v>
      </c>
      <c r="I274" s="144"/>
      <c r="J274" s="144"/>
      <c r="K274" s="145"/>
      <c r="L274" s="50">
        <f ca="1">IFERROR(__xludf.DUMMYFUNCTION("IMPORTRANGE(""https://docs.google.com/spreadsheets/d/1-uDff_7J0KD5mKrp0Vvzr7lt3OU09vwQwhkpOPPYv2Y/edit?usp=sharing"",""งบพรบ!DH17"")"),0)</f>
        <v>0</v>
      </c>
      <c r="M274" s="50">
        <f ca="1">IFERROR(__xludf.DUMMYFUNCTION("IMPORTRANGE(""https://docs.google.com/spreadsheets/d/1-uDff_7J0KD5mKrp0Vvzr7lt3OU09vwQwhkpOPPYv2Y/edit?usp=sharing"",""งบพรบ!DK17"")"),0)</f>
        <v>0</v>
      </c>
      <c r="N274" s="50">
        <f ca="1">IFERROR(__xludf.DUMMYFUNCTION("IMPORTRANGE(""https://docs.google.com/spreadsheets/d/1-uDff_7J0KD5mKrp0Vvzr7lt3OU09vwQwhkpOPPYv2Y/edit?usp=sharing"",""งบพรบ!DM17"")"),0)</f>
        <v>0</v>
      </c>
      <c r="O274" s="50">
        <f ca="1">IF(L274&gt;0,N274*100/L274,0)</f>
        <v>0</v>
      </c>
      <c r="P274" s="50">
        <f ca="1">IF(M274&gt;0,N274*100/M274,0)</f>
        <v>0</v>
      </c>
    </row>
    <row r="275" spans="1:16" ht="19.5" hidden="1" x14ac:dyDescent="0.3">
      <c r="A275" s="148"/>
      <c r="B275" s="149"/>
      <c r="C275" s="279" t="s">
        <v>16</v>
      </c>
      <c r="D275" s="394" t="s">
        <v>36</v>
      </c>
      <c r="E275" s="151"/>
      <c r="F275" s="151"/>
      <c r="G275" s="152"/>
      <c r="H275" s="153"/>
      <c r="I275" s="144"/>
      <c r="J275" s="144"/>
      <c r="K275" s="145"/>
      <c r="L275" s="145"/>
      <c r="M275" s="145"/>
      <c r="N275" s="145"/>
      <c r="O275" s="145"/>
      <c r="P275" s="145"/>
    </row>
    <row r="276" spans="1:16" ht="12.75" hidden="1" x14ac:dyDescent="0.2">
      <c r="A276" s="165"/>
      <c r="B276" s="166"/>
      <c r="C276" s="166"/>
      <c r="D276" s="16"/>
      <c r="E276" s="16"/>
      <c r="F276" s="16"/>
      <c r="G276" s="17"/>
      <c r="H276" s="17"/>
      <c r="I276" s="18"/>
      <c r="J276" s="18"/>
      <c r="K276" s="19"/>
      <c r="L276" s="19"/>
      <c r="M276" s="19"/>
      <c r="N276" s="19"/>
      <c r="O276" s="19"/>
      <c r="P276" s="19"/>
    </row>
    <row r="277" spans="1:16" ht="18.75" hidden="1" x14ac:dyDescent="0.25">
      <c r="A277" s="280"/>
      <c r="B277" s="281"/>
      <c r="C277" s="281"/>
      <c r="D277" s="282" t="s">
        <v>110</v>
      </c>
      <c r="E277" s="283"/>
      <c r="F277" s="283"/>
      <c r="G277" s="284"/>
      <c r="H277" s="285" t="s">
        <v>33</v>
      </c>
      <c r="I277" s="205">
        <v>0</v>
      </c>
      <c r="J277" s="205">
        <v>0</v>
      </c>
      <c r="K277" s="286">
        <v>0</v>
      </c>
      <c r="L277" s="287"/>
      <c r="M277" s="287"/>
      <c r="N277" s="287"/>
      <c r="O277" s="287"/>
      <c r="P277" s="287"/>
    </row>
    <row r="278" spans="1:16" ht="19.5" x14ac:dyDescent="0.3">
      <c r="A278" s="288" t="s">
        <v>111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</row>
    <row r="279" spans="1:16" ht="19.5" x14ac:dyDescent="0.3">
      <c r="A279" s="294" t="s">
        <v>112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299"/>
      <c r="M279" s="299"/>
      <c r="N279" s="299"/>
      <c r="O279" s="299"/>
      <c r="P279" s="299"/>
    </row>
    <row r="280" spans="1:16" ht="19.5" x14ac:dyDescent="0.3">
      <c r="A280" s="300"/>
      <c r="B280" s="301" t="s">
        <v>113</v>
      </c>
      <c r="C280" s="302"/>
      <c r="D280" s="303"/>
      <c r="E280" s="302"/>
      <c r="F280" s="302"/>
      <c r="G280" s="304"/>
      <c r="H280" s="305" t="s">
        <v>33</v>
      </c>
      <c r="I280" s="306">
        <f ca="1">I293</f>
        <v>20</v>
      </c>
      <c r="J280" s="306">
        <f>J293</f>
        <v>0</v>
      </c>
      <c r="K280" s="307">
        <f ca="1">IF(I280&gt;0,J280*100/I280,0)</f>
        <v>0</v>
      </c>
      <c r="L280" s="308"/>
      <c r="M280" s="308"/>
      <c r="N280" s="308"/>
      <c r="O280" s="308"/>
      <c r="P280" s="308"/>
    </row>
    <row r="281" spans="1:16" ht="19.5" x14ac:dyDescent="0.3">
      <c r="A281" s="300"/>
      <c r="B281" s="302"/>
      <c r="C281" s="302"/>
      <c r="D281" s="303"/>
      <c r="E281" s="302"/>
      <c r="F281" s="302"/>
      <c r="G281" s="304"/>
      <c r="H281" s="305" t="s">
        <v>44</v>
      </c>
      <c r="I281" s="306">
        <f ca="1">I292</f>
        <v>200</v>
      </c>
      <c r="J281" s="306">
        <f>J292</f>
        <v>0</v>
      </c>
      <c r="K281" s="307">
        <f ca="1">IF(I281&gt;0,J281*100/I281,0)</f>
        <v>0</v>
      </c>
      <c r="L281" s="308"/>
      <c r="M281" s="308"/>
      <c r="N281" s="308"/>
      <c r="O281" s="308"/>
      <c r="P281" s="308"/>
    </row>
    <row r="282" spans="1:16" ht="19.5" x14ac:dyDescent="0.3">
      <c r="A282" s="136"/>
      <c r="B282" s="41"/>
      <c r="C282" s="197" t="s">
        <v>16</v>
      </c>
      <c r="D282" s="397" t="s">
        <v>17</v>
      </c>
      <c r="E282" s="41"/>
      <c r="F282" s="41"/>
      <c r="G282" s="43"/>
      <c r="H282" s="139" t="s">
        <v>12</v>
      </c>
      <c r="I282" s="45"/>
      <c r="J282" s="45"/>
      <c r="K282" s="46"/>
      <c r="L282" s="140">
        <f ca="1">L283+L284</f>
        <v>71120</v>
      </c>
      <c r="M282" s="140">
        <f ca="1">M283+M284</f>
        <v>59480</v>
      </c>
      <c r="N282" s="140">
        <f ca="1">N283+N284</f>
        <v>0</v>
      </c>
      <c r="O282" s="140">
        <f ca="1">IF(L282&gt;0,N282*100/L282,0)</f>
        <v>0</v>
      </c>
      <c r="P282" s="140">
        <f ca="1">IF(M282&gt;0,N282*100/M282,0)</f>
        <v>0</v>
      </c>
    </row>
    <row r="283" spans="1:16" ht="18.75" hidden="1" x14ac:dyDescent="0.25">
      <c r="A283" s="136"/>
      <c r="B283" s="41"/>
      <c r="C283" s="41"/>
      <c r="D283" s="41"/>
      <c r="E283" s="279" t="s">
        <v>18</v>
      </c>
      <c r="F283" s="41"/>
      <c r="G283" s="43"/>
      <c r="H283" s="141" t="s">
        <v>12</v>
      </c>
      <c r="I283" s="45"/>
      <c r="J283" s="45"/>
      <c r="K283" s="46"/>
      <c r="L283" s="50">
        <f>L286+L289</f>
        <v>0</v>
      </c>
      <c r="M283" s="50">
        <f>M286+M289</f>
        <v>0</v>
      </c>
      <c r="N283" s="50">
        <f>N286+N289</f>
        <v>0</v>
      </c>
      <c r="O283" s="50">
        <f>IF(L283&gt;0,N283*100/L283,0)</f>
        <v>0</v>
      </c>
      <c r="P283" s="50">
        <f>IF(M283&gt;0,N283*100/M283,0)</f>
        <v>0</v>
      </c>
    </row>
    <row r="284" spans="1:16" ht="18.75" x14ac:dyDescent="0.25">
      <c r="A284" s="136"/>
      <c r="B284" s="41"/>
      <c r="C284" s="41"/>
      <c r="D284" s="41"/>
      <c r="E284" s="254" t="s">
        <v>19</v>
      </c>
      <c r="F284" s="41"/>
      <c r="G284" s="43"/>
      <c r="H284" s="142" t="s">
        <v>12</v>
      </c>
      <c r="I284" s="45"/>
      <c r="J284" s="45"/>
      <c r="K284" s="46"/>
      <c r="L284" s="47">
        <f ca="1">L287+L290</f>
        <v>71120</v>
      </c>
      <c r="M284" s="47">
        <f ca="1">M287+M290</f>
        <v>59480</v>
      </c>
      <c r="N284" s="47">
        <f ca="1">N287+N290</f>
        <v>0</v>
      </c>
      <c r="O284" s="47">
        <f ca="1">IF(L284&gt;0,N284*100/L284,0)</f>
        <v>0</v>
      </c>
      <c r="P284" s="47">
        <f ca="1">IF(M284&gt;0,N284*100/M284,0)</f>
        <v>0</v>
      </c>
    </row>
    <row r="285" spans="1:16" ht="18.75" x14ac:dyDescent="0.25">
      <c r="A285" s="136"/>
      <c r="B285" s="41"/>
      <c r="C285" s="41"/>
      <c r="D285" s="42" t="s">
        <v>20</v>
      </c>
      <c r="E285" s="41"/>
      <c r="F285" s="41"/>
      <c r="G285" s="43"/>
      <c r="H285" s="143" t="s">
        <v>12</v>
      </c>
      <c r="I285" s="144"/>
      <c r="J285" s="144"/>
      <c r="K285" s="145"/>
      <c r="L285" s="47">
        <f ca="1">L286+L287</f>
        <v>71120</v>
      </c>
      <c r="M285" s="47">
        <f ca="1">M286+M287</f>
        <v>59480</v>
      </c>
      <c r="N285" s="47">
        <f ca="1">N286+N287</f>
        <v>0</v>
      </c>
      <c r="O285" s="47">
        <f ca="1">IF(L285&gt;0,N285*100/L285,0)</f>
        <v>0</v>
      </c>
      <c r="P285" s="47">
        <f ca="1">IF(M285&gt;0,N285*100/M285,0)</f>
        <v>0</v>
      </c>
    </row>
    <row r="286" spans="1:16" ht="18.75" hidden="1" x14ac:dyDescent="0.25">
      <c r="A286" s="136"/>
      <c r="B286" s="41"/>
      <c r="C286" s="41"/>
      <c r="D286" s="41"/>
      <c r="E286" s="279" t="s">
        <v>34</v>
      </c>
      <c r="F286" s="41"/>
      <c r="G286" s="43"/>
      <c r="H286" s="146" t="s">
        <v>12</v>
      </c>
      <c r="I286" s="144"/>
      <c r="J286" s="144"/>
      <c r="K286" s="145"/>
      <c r="L286" s="50">
        <v>0</v>
      </c>
      <c r="M286" s="50">
        <v>0</v>
      </c>
      <c r="N286" s="50">
        <v>0</v>
      </c>
      <c r="O286" s="50">
        <f>IF(L286&gt;0,N286*100/L286,0)</f>
        <v>0</v>
      </c>
      <c r="P286" s="50">
        <f>IF(M286&gt;0,N286*100/M286,0)</f>
        <v>0</v>
      </c>
    </row>
    <row r="287" spans="1:16" ht="18.75" x14ac:dyDescent="0.25">
      <c r="A287" s="136"/>
      <c r="B287" s="41"/>
      <c r="C287" s="41"/>
      <c r="D287" s="41"/>
      <c r="E287" s="254" t="s">
        <v>35</v>
      </c>
      <c r="F287" s="41"/>
      <c r="G287" s="43"/>
      <c r="H287" s="143" t="s">
        <v>12</v>
      </c>
      <c r="I287" s="144"/>
      <c r="J287" s="144"/>
      <c r="K287" s="145"/>
      <c r="L287" s="47">
        <f ca="1">IFERROR(__xludf.DUMMYFUNCTION("IMPORTRANGE(""https://docs.google.com/spreadsheets/d/1-uDff_7J0KD5mKrp0Vvzr7lt3OU09vwQwhkpOPPYv2Y/edit?usp=sharing"",""งบพรบ!DO17"")"),71120)</f>
        <v>71120</v>
      </c>
      <c r="M287" s="47">
        <f ca="1">IFERROR(__xludf.DUMMYFUNCTION("IMPORTRANGE(""https://docs.google.com/spreadsheets/d/1-uDff_7J0KD5mKrp0Vvzr7lt3OU09vwQwhkpOPPYv2Y/edit?usp=sharing"",""งบพรบ!DT17"")"),59480)</f>
        <v>59480</v>
      </c>
      <c r="N287" s="47">
        <f ca="1">IFERROR(__xludf.DUMMYFUNCTION("IMPORTRANGE(""https://docs.google.com/spreadsheets/d/1-uDff_7J0KD5mKrp0Vvzr7lt3OU09vwQwhkpOPPYv2Y/edit?usp=sharing"",""งบพรบ!DV17"")"),0)</f>
        <v>0</v>
      </c>
      <c r="O287" s="47">
        <f ca="1">IF(L287&gt;0,N287*100/L287,0)</f>
        <v>0</v>
      </c>
      <c r="P287" s="47">
        <f ca="1">IF(M287&gt;0,N287*100/M287,0)</f>
        <v>0</v>
      </c>
    </row>
    <row r="288" spans="1:16" ht="18.75" x14ac:dyDescent="0.25">
      <c r="A288" s="136"/>
      <c r="B288" s="41"/>
      <c r="C288" s="41"/>
      <c r="D288" s="42" t="s">
        <v>21</v>
      </c>
      <c r="E288" s="41"/>
      <c r="F288" s="41"/>
      <c r="G288" s="43"/>
      <c r="H288" s="147" t="s">
        <v>12</v>
      </c>
      <c r="I288" s="144"/>
      <c r="J288" s="144"/>
      <c r="K288" s="145"/>
      <c r="L288" s="47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</row>
    <row r="289" spans="1:16" ht="18.75" hidden="1" x14ac:dyDescent="0.25">
      <c r="A289" s="136"/>
      <c r="B289" s="41"/>
      <c r="C289" s="41"/>
      <c r="D289" s="41"/>
      <c r="E289" s="279" t="s">
        <v>18</v>
      </c>
      <c r="F289" s="41"/>
      <c r="G289" s="43"/>
      <c r="H289" s="146" t="s">
        <v>12</v>
      </c>
      <c r="I289" s="144"/>
      <c r="J289" s="144"/>
      <c r="K289" s="145"/>
      <c r="L289" s="50">
        <v>0</v>
      </c>
      <c r="M289" s="50">
        <v>0</v>
      </c>
      <c r="N289" s="50">
        <v>0</v>
      </c>
      <c r="O289" s="50">
        <f>IF(L289&gt;0,N289*100/L289,0)</f>
        <v>0</v>
      </c>
      <c r="P289" s="50">
        <f>IF(M289&gt;0,N289*100/M289,0)</f>
        <v>0</v>
      </c>
    </row>
    <row r="290" spans="1:16" ht="18.75" x14ac:dyDescent="0.25">
      <c r="A290" s="136"/>
      <c r="B290" s="41"/>
      <c r="C290" s="41"/>
      <c r="D290" s="41"/>
      <c r="E290" s="254" t="s">
        <v>19</v>
      </c>
      <c r="F290" s="41"/>
      <c r="G290" s="43"/>
      <c r="H290" s="147" t="s">
        <v>12</v>
      </c>
      <c r="I290" s="144"/>
      <c r="J290" s="144"/>
      <c r="K290" s="145"/>
      <c r="L290" s="47">
        <f ca="1">IFERROR(__xludf.DUMMYFUNCTION("IMPORTRANGE(""https://docs.google.com/spreadsheets/d/1-uDff_7J0KD5mKrp0Vvzr7lt3OU09vwQwhkpOPPYv2Y/edit?usp=sharing"",""งบพรบ!DR17"")"),0)</f>
        <v>0</v>
      </c>
      <c r="M290" s="47">
        <f ca="1">IFERROR(__xludf.DUMMYFUNCTION("IMPORTRANGE(""https://docs.google.com/spreadsheets/d/1-uDff_7J0KD5mKrp0Vvzr7lt3OU09vwQwhkpOPPYv2Y/edit?usp=sharing"",""งบพรบ!DU17"")"),0)</f>
        <v>0</v>
      </c>
      <c r="N290" s="47">
        <f ca="1">IFERROR(__xludf.DUMMYFUNCTION("IMPORTRANGE(""https://docs.google.com/spreadsheets/d/1-uDff_7J0KD5mKrp0Vvzr7lt3OU09vwQwhkpOPPYv2Y/edit?usp=sharing"",""งบพรบ!DW17"")"),0)</f>
        <v>0</v>
      </c>
      <c r="O290" s="47">
        <f ca="1">IF(L290&gt;0,N290*100/L290,0)</f>
        <v>0</v>
      </c>
      <c r="P290" s="47">
        <f ca="1">IF(M290&gt;0,N290*100/M290,0)</f>
        <v>0</v>
      </c>
    </row>
    <row r="291" spans="1:16" ht="19.5" x14ac:dyDescent="0.3">
      <c r="A291" s="148"/>
      <c r="B291" s="149"/>
      <c r="C291" s="197" t="s">
        <v>16</v>
      </c>
      <c r="D291" s="395" t="s">
        <v>36</v>
      </c>
      <c r="E291" s="151"/>
      <c r="F291" s="151"/>
      <c r="G291" s="152"/>
      <c r="H291" s="153"/>
      <c r="I291" s="144"/>
      <c r="J291" s="144"/>
      <c r="K291" s="145"/>
      <c r="L291" s="145"/>
      <c r="M291" s="145"/>
      <c r="N291" s="145"/>
      <c r="O291" s="145"/>
      <c r="P291" s="145"/>
    </row>
    <row r="292" spans="1:16" ht="18.75" x14ac:dyDescent="0.25">
      <c r="A292" s="148"/>
      <c r="B292" s="149"/>
      <c r="C292" s="149"/>
      <c r="D292" s="159" t="s">
        <v>114</v>
      </c>
      <c r="E292" s="149"/>
      <c r="F292" s="155"/>
      <c r="G292" s="153"/>
      <c r="H292" s="164" t="s">
        <v>44</v>
      </c>
      <c r="I292" s="169">
        <f ca="1">IFERROR(__xludf.DUMMYFUNCTION("IMPORTRANGE(""https://docs.google.com/spreadsheets/d/1eHaY18a8A9IcSdp1K8H6x8fbOy06t2VsZHhMHf-1x7Y/edit?usp=sharing"",""แผน!EE17"")"),200)</f>
        <v>200</v>
      </c>
      <c r="J292" s="250">
        <v>0</v>
      </c>
      <c r="K292" s="163">
        <f ca="1">IF(I292&gt;0,J292*100/I292,0)</f>
        <v>0</v>
      </c>
      <c r="L292" s="145"/>
      <c r="M292" s="145"/>
      <c r="N292" s="145"/>
      <c r="O292" s="145"/>
      <c r="P292" s="145"/>
    </row>
    <row r="293" spans="1:16" ht="19.5" x14ac:dyDescent="0.3">
      <c r="A293" s="148"/>
      <c r="B293" s="149"/>
      <c r="C293" s="149"/>
      <c r="D293" s="159" t="s">
        <v>115</v>
      </c>
      <c r="E293" s="149"/>
      <c r="F293" s="155"/>
      <c r="G293" s="153"/>
      <c r="H293" s="156" t="s">
        <v>33</v>
      </c>
      <c r="I293" s="157">
        <f ca="1">IFERROR(__xludf.DUMMYFUNCTION("IMPORTRANGE(""https://docs.google.com/spreadsheets/d/1eHaY18a8A9IcSdp1K8H6x8fbOy06t2VsZHhMHf-1x7Y/edit?usp=sharing"",""แผน!ED17"")"),20)</f>
        <v>20</v>
      </c>
      <c r="J293" s="157">
        <f>J296</f>
        <v>0</v>
      </c>
      <c r="K293" s="158">
        <f ca="1">IF(I293&gt;0,J293*100/I293,0)</f>
        <v>0</v>
      </c>
      <c r="L293" s="145"/>
      <c r="M293" s="145"/>
      <c r="N293" s="145"/>
      <c r="O293" s="145"/>
      <c r="P293" s="145"/>
    </row>
    <row r="294" spans="1:16" ht="19.5" x14ac:dyDescent="0.3">
      <c r="A294" s="148"/>
      <c r="B294" s="149"/>
      <c r="C294" s="149"/>
      <c r="D294" s="155"/>
      <c r="E294" s="167" t="s">
        <v>116</v>
      </c>
      <c r="F294" s="155"/>
      <c r="G294" s="153"/>
      <c r="H294" s="153"/>
      <c r="I294" s="144"/>
      <c r="J294" s="45"/>
      <c r="K294" s="145"/>
      <c r="L294" s="145"/>
      <c r="M294" s="145"/>
      <c r="N294" s="145"/>
      <c r="O294" s="145"/>
      <c r="P294" s="145"/>
    </row>
    <row r="295" spans="1:16" ht="19.5" x14ac:dyDescent="0.3">
      <c r="A295" s="148"/>
      <c r="B295" s="149"/>
      <c r="C295" s="149"/>
      <c r="D295" s="155"/>
      <c r="E295" s="159" t="s">
        <v>117</v>
      </c>
      <c r="F295" s="155"/>
      <c r="G295" s="153"/>
      <c r="H295" s="251" t="s">
        <v>33</v>
      </c>
      <c r="I295" s="161">
        <f ca="1">IFERROR(__xludf.DUMMYFUNCTION("IMPORTRANGE(""https://docs.google.com/spreadsheets/d/1eHaY18a8A9IcSdp1K8H6x8fbOy06t2VsZHhMHf-1x7Y/edit?usp=sharing"",""แผน!ED17"")"),20)</f>
        <v>20</v>
      </c>
      <c r="J295" s="250">
        <v>0</v>
      </c>
      <c r="K295" s="163">
        <f ca="1">IF(I295&gt;0,J295*100/I295,0)</f>
        <v>0</v>
      </c>
      <c r="L295" s="145"/>
      <c r="M295" s="145"/>
      <c r="N295" s="145"/>
      <c r="O295" s="145"/>
      <c r="P295" s="145"/>
    </row>
    <row r="296" spans="1:16" ht="19.5" x14ac:dyDescent="0.3">
      <c r="A296" s="148"/>
      <c r="B296" s="149"/>
      <c r="C296" s="149"/>
      <c r="D296" s="155"/>
      <c r="E296" s="159" t="s">
        <v>118</v>
      </c>
      <c r="F296" s="155"/>
      <c r="G296" s="153"/>
      <c r="H296" s="251" t="s">
        <v>33</v>
      </c>
      <c r="I296" s="161">
        <f ca="1">IFERROR(__xludf.DUMMYFUNCTION("IMPORTRANGE(""https://docs.google.com/spreadsheets/d/1eHaY18a8A9IcSdp1K8H6x8fbOy06t2VsZHhMHf-1x7Y/edit?usp=sharing"",""แผน!ED17"")"),20)</f>
        <v>20</v>
      </c>
      <c r="J296" s="250">
        <v>0</v>
      </c>
      <c r="K296" s="163">
        <f ca="1">IF(I296&gt;0,J296*100/I296,0)</f>
        <v>0</v>
      </c>
      <c r="L296" s="145"/>
      <c r="M296" s="145"/>
      <c r="N296" s="145"/>
      <c r="O296" s="145"/>
      <c r="P296" s="145"/>
    </row>
    <row r="297" spans="1:16" ht="12.75" hidden="1" x14ac:dyDescent="0.2">
      <c r="A297" s="165"/>
      <c r="B297" s="166"/>
      <c r="C297" s="166"/>
      <c r="D297" s="16"/>
      <c r="E297" s="16"/>
      <c r="F297" s="16"/>
      <c r="G297" s="17"/>
      <c r="H297" s="17"/>
      <c r="I297" s="18"/>
      <c r="J297" s="18"/>
      <c r="K297" s="19"/>
      <c r="L297" s="19"/>
      <c r="M297" s="19"/>
      <c r="N297" s="19"/>
      <c r="O297" s="19"/>
      <c r="P297" s="19"/>
    </row>
    <row r="298" spans="1:16" ht="12.75" hidden="1" x14ac:dyDescent="0.2">
      <c r="A298" s="165"/>
      <c r="B298" s="166"/>
      <c r="C298" s="166"/>
      <c r="D298" s="16"/>
      <c r="E298" s="16"/>
      <c r="F298" s="16"/>
      <c r="G298" s="17"/>
      <c r="H298" s="17"/>
      <c r="I298" s="18"/>
      <c r="J298" s="18"/>
      <c r="K298" s="19"/>
      <c r="L298" s="19"/>
      <c r="M298" s="19"/>
      <c r="N298" s="19"/>
      <c r="O298" s="19"/>
      <c r="P298" s="19"/>
    </row>
    <row r="299" spans="1:16" ht="12.75" hidden="1" x14ac:dyDescent="0.2">
      <c r="A299" s="309"/>
      <c r="B299" s="310"/>
      <c r="C299" s="310"/>
      <c r="D299" s="21"/>
      <c r="E299" s="21"/>
      <c r="F299" s="21"/>
      <c r="G299" s="12"/>
      <c r="H299" s="12"/>
      <c r="I299" s="13"/>
      <c r="J299" s="13"/>
      <c r="K299" s="14"/>
      <c r="L299" s="14"/>
      <c r="M299" s="14"/>
      <c r="N299" s="14"/>
      <c r="O299" s="14"/>
      <c r="P299" s="14"/>
    </row>
    <row r="300" spans="1:16" ht="19.5" x14ac:dyDescent="0.3">
      <c r="A300" s="311" t="s">
        <v>119</v>
      </c>
      <c r="B300" s="312"/>
      <c r="C300" s="312"/>
      <c r="D300" s="312"/>
      <c r="E300" s="313"/>
      <c r="F300" s="313"/>
      <c r="G300" s="313"/>
      <c r="H300" s="313"/>
      <c r="I300" s="314"/>
      <c r="J300" s="314"/>
      <c r="K300" s="315"/>
      <c r="L300" s="315"/>
      <c r="M300" s="315"/>
      <c r="N300" s="315"/>
      <c r="O300" s="315"/>
      <c r="P300" s="316"/>
    </row>
    <row r="301" spans="1:16" ht="19.5" x14ac:dyDescent="0.3">
      <c r="A301" s="317" t="s">
        <v>120</v>
      </c>
      <c r="B301" s="318"/>
      <c r="C301" s="318"/>
      <c r="D301" s="319"/>
      <c r="E301" s="319"/>
      <c r="F301" s="319"/>
      <c r="G301" s="320"/>
      <c r="H301" s="320"/>
      <c r="I301" s="321"/>
      <c r="J301" s="321"/>
      <c r="K301" s="322"/>
      <c r="L301" s="322"/>
      <c r="M301" s="322"/>
      <c r="N301" s="322"/>
      <c r="O301" s="322"/>
      <c r="P301" s="322"/>
    </row>
    <row r="302" spans="1:16" ht="19.5" x14ac:dyDescent="0.3">
      <c r="A302" s="323"/>
      <c r="B302" s="324" t="s">
        <v>121</v>
      </c>
      <c r="C302" s="325"/>
      <c r="D302" s="325"/>
      <c r="E302" s="325"/>
      <c r="F302" s="325"/>
      <c r="G302" s="326"/>
      <c r="H302" s="327" t="s">
        <v>33</v>
      </c>
      <c r="I302" s="328">
        <f ca="1">I314</f>
        <v>20</v>
      </c>
      <c r="J302" s="328">
        <f>J314</f>
        <v>0</v>
      </c>
      <c r="K302" s="329">
        <f ca="1">IF(I302&gt;0,J302*100/I302,0)</f>
        <v>0</v>
      </c>
      <c r="L302" s="330"/>
      <c r="M302" s="330"/>
      <c r="N302" s="330"/>
      <c r="O302" s="330"/>
      <c r="P302" s="330"/>
    </row>
    <row r="303" spans="1:16" ht="19.5" x14ac:dyDescent="0.3">
      <c r="A303" s="136"/>
      <c r="B303" s="41"/>
      <c r="C303" s="197" t="s">
        <v>16</v>
      </c>
      <c r="D303" s="397" t="s">
        <v>17</v>
      </c>
      <c r="E303" s="41"/>
      <c r="F303" s="41"/>
      <c r="G303" s="43"/>
      <c r="H303" s="139" t="s">
        <v>12</v>
      </c>
      <c r="I303" s="45"/>
      <c r="J303" s="45"/>
      <c r="K303" s="46"/>
      <c r="L303" s="140">
        <f ca="1">L304+L305</f>
        <v>133500</v>
      </c>
      <c r="M303" s="140">
        <f ca="1">M304+M305</f>
        <v>100900</v>
      </c>
      <c r="N303" s="140">
        <f ca="1">N304+N305</f>
        <v>6083</v>
      </c>
      <c r="O303" s="140">
        <f ca="1">IF(L303&gt;0,N303*100/L303,0)</f>
        <v>4.5565543071161052</v>
      </c>
      <c r="P303" s="140">
        <f ca="1">IF(M303&gt;0,N303*100/M303,0)</f>
        <v>6.0287413280475715</v>
      </c>
    </row>
    <row r="304" spans="1:16" ht="18.75" hidden="1" x14ac:dyDescent="0.25">
      <c r="A304" s="136"/>
      <c r="B304" s="41"/>
      <c r="C304" s="41"/>
      <c r="D304" s="41"/>
      <c r="E304" s="279" t="s">
        <v>18</v>
      </c>
      <c r="F304" s="41"/>
      <c r="G304" s="43"/>
      <c r="H304" s="141" t="s">
        <v>12</v>
      </c>
      <c r="I304" s="45"/>
      <c r="J304" s="45"/>
      <c r="K304" s="46"/>
      <c r="L304" s="50">
        <f>L307+L310</f>
        <v>0</v>
      </c>
      <c r="M304" s="50">
        <f>M307+M310</f>
        <v>0</v>
      </c>
      <c r="N304" s="50">
        <f>N307+N310</f>
        <v>0</v>
      </c>
      <c r="O304" s="50">
        <f>IF(L304&gt;0,N304*100/L304,0)</f>
        <v>0</v>
      </c>
      <c r="P304" s="50">
        <f>IF(M304&gt;0,N304*100/M304,0)</f>
        <v>0</v>
      </c>
    </row>
    <row r="305" spans="1:16" ht="18.75" x14ac:dyDescent="0.25">
      <c r="A305" s="136"/>
      <c r="B305" s="41"/>
      <c r="C305" s="41"/>
      <c r="D305" s="41"/>
      <c r="E305" s="254" t="s">
        <v>19</v>
      </c>
      <c r="F305" s="41"/>
      <c r="G305" s="43"/>
      <c r="H305" s="142" t="s">
        <v>12</v>
      </c>
      <c r="I305" s="45"/>
      <c r="J305" s="45"/>
      <c r="K305" s="46"/>
      <c r="L305" s="47">
        <f ca="1">L308+L311</f>
        <v>133500</v>
      </c>
      <c r="M305" s="47">
        <f ca="1">M308+M311</f>
        <v>100900</v>
      </c>
      <c r="N305" s="47">
        <f ca="1">N308+N311</f>
        <v>6083</v>
      </c>
      <c r="O305" s="47">
        <f ca="1">IF(L305&gt;0,N305*100/L305,0)</f>
        <v>4.5565543071161052</v>
      </c>
      <c r="P305" s="47">
        <f ca="1">IF(M305&gt;0,N305*100/M305,0)</f>
        <v>6.0287413280475715</v>
      </c>
    </row>
    <row r="306" spans="1:16" ht="18.75" x14ac:dyDescent="0.25">
      <c r="A306" s="136"/>
      <c r="B306" s="41"/>
      <c r="C306" s="41"/>
      <c r="D306" s="42" t="s">
        <v>20</v>
      </c>
      <c r="E306" s="41"/>
      <c r="F306" s="41"/>
      <c r="G306" s="43"/>
      <c r="H306" s="143" t="s">
        <v>12</v>
      </c>
      <c r="I306" s="144"/>
      <c r="J306" s="144"/>
      <c r="K306" s="145"/>
      <c r="L306" s="47">
        <f ca="1">L307+L308</f>
        <v>133500</v>
      </c>
      <c r="M306" s="47">
        <f ca="1">M307+M308</f>
        <v>100900</v>
      </c>
      <c r="N306" s="47">
        <f ca="1">N307+N308</f>
        <v>6083</v>
      </c>
      <c r="O306" s="47">
        <f ca="1">IF(L306&gt;0,N306*100/L306,0)</f>
        <v>4.5565543071161052</v>
      </c>
      <c r="P306" s="47">
        <f ca="1">IF(M306&gt;0,N306*100/M306,0)</f>
        <v>6.0287413280475715</v>
      </c>
    </row>
    <row r="307" spans="1:16" ht="18.75" hidden="1" x14ac:dyDescent="0.25">
      <c r="A307" s="136"/>
      <c r="B307" s="41"/>
      <c r="C307" s="41"/>
      <c r="D307" s="41"/>
      <c r="E307" s="279" t="s">
        <v>34</v>
      </c>
      <c r="F307" s="41"/>
      <c r="G307" s="43"/>
      <c r="H307" s="146" t="s">
        <v>12</v>
      </c>
      <c r="I307" s="144"/>
      <c r="J307" s="144"/>
      <c r="K307" s="145"/>
      <c r="L307" s="50">
        <v>0</v>
      </c>
      <c r="M307" s="50">
        <v>0</v>
      </c>
      <c r="N307" s="50">
        <v>0</v>
      </c>
      <c r="O307" s="50">
        <f>IF(L307&gt;0,N307*100/L307,0)</f>
        <v>0</v>
      </c>
      <c r="P307" s="50">
        <f>IF(M307&gt;0,N307*100/M307,0)</f>
        <v>0</v>
      </c>
    </row>
    <row r="308" spans="1:16" ht="18.75" x14ac:dyDescent="0.25">
      <c r="A308" s="136"/>
      <c r="B308" s="41"/>
      <c r="C308" s="41"/>
      <c r="D308" s="41"/>
      <c r="E308" s="254" t="s">
        <v>35</v>
      </c>
      <c r="F308" s="41"/>
      <c r="G308" s="43"/>
      <c r="H308" s="143" t="s">
        <v>12</v>
      </c>
      <c r="I308" s="144"/>
      <c r="J308" s="144"/>
      <c r="K308" s="145"/>
      <c r="L308" s="47">
        <f ca="1">IFERROR(__xludf.DUMMYFUNCTION("IMPORTRANGE(""https://docs.google.com/spreadsheets/d/1-uDff_7J0KD5mKrp0Vvzr7lt3OU09vwQwhkpOPPYv2Y/edit?usp=sharing"",""งบพรบ!DY17"")"),133500)</f>
        <v>133500</v>
      </c>
      <c r="M308" s="47">
        <f ca="1">IFERROR(__xludf.DUMMYFUNCTION("IMPORTRANGE(""https://docs.google.com/spreadsheets/d/1-uDff_7J0KD5mKrp0Vvzr7lt3OU09vwQwhkpOPPYv2Y/edit?usp=sharing"",""งบพรบ!ED17"")"),100900)</f>
        <v>100900</v>
      </c>
      <c r="N308" s="47">
        <f ca="1">IFERROR(__xludf.DUMMYFUNCTION("IMPORTRANGE(""https://docs.google.com/spreadsheets/d/1-uDff_7J0KD5mKrp0Vvzr7lt3OU09vwQwhkpOPPYv2Y/edit?usp=sharing"",""งบพรบ!EF17"")"),6083)</f>
        <v>6083</v>
      </c>
      <c r="O308" s="47">
        <f ca="1">IF(L308&gt;0,N308*100/L308,0)</f>
        <v>4.5565543071161052</v>
      </c>
      <c r="P308" s="47">
        <f ca="1">IF(M308&gt;0,N308*100/M308,0)</f>
        <v>6.0287413280475715</v>
      </c>
    </row>
    <row r="309" spans="1:16" ht="18.75" x14ac:dyDescent="0.25">
      <c r="A309" s="136"/>
      <c r="B309" s="41"/>
      <c r="C309" s="41"/>
      <c r="D309" s="42" t="s">
        <v>21</v>
      </c>
      <c r="E309" s="41"/>
      <c r="F309" s="41"/>
      <c r="G309" s="43"/>
      <c r="H309" s="147" t="s">
        <v>12</v>
      </c>
      <c r="I309" s="144"/>
      <c r="J309" s="144"/>
      <c r="K309" s="145"/>
      <c r="L309" s="47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</row>
    <row r="310" spans="1:16" ht="18.75" hidden="1" x14ac:dyDescent="0.25">
      <c r="A310" s="136"/>
      <c r="B310" s="41"/>
      <c r="C310" s="41"/>
      <c r="D310" s="41"/>
      <c r="E310" s="279" t="s">
        <v>18</v>
      </c>
      <c r="F310" s="41"/>
      <c r="G310" s="43"/>
      <c r="H310" s="146" t="s">
        <v>12</v>
      </c>
      <c r="I310" s="144"/>
      <c r="J310" s="144"/>
      <c r="K310" s="145"/>
      <c r="L310" s="50">
        <v>0</v>
      </c>
      <c r="M310" s="50">
        <v>0</v>
      </c>
      <c r="N310" s="50">
        <v>0</v>
      </c>
      <c r="O310" s="50">
        <f>IF(L310&gt;0,N310*100/L310,0)</f>
        <v>0</v>
      </c>
      <c r="P310" s="50">
        <f>IF(M310&gt;0,N310*100/M310,0)</f>
        <v>0</v>
      </c>
    </row>
    <row r="311" spans="1:16" ht="18.75" x14ac:dyDescent="0.25">
      <c r="A311" s="136"/>
      <c r="B311" s="41"/>
      <c r="C311" s="41"/>
      <c r="D311" s="41"/>
      <c r="E311" s="254" t="s">
        <v>19</v>
      </c>
      <c r="F311" s="41"/>
      <c r="G311" s="43"/>
      <c r="H311" s="147" t="s">
        <v>12</v>
      </c>
      <c r="I311" s="144"/>
      <c r="J311" s="144"/>
      <c r="K311" s="145"/>
      <c r="L311" s="47">
        <f ca="1">IFERROR(__xludf.DUMMYFUNCTION("IMPORTRANGE(""https://docs.google.com/spreadsheets/d/1-uDff_7J0KD5mKrp0Vvzr7lt3OU09vwQwhkpOPPYv2Y/edit?usp=sharing"",""งบพรบ!EB17"")"),0)</f>
        <v>0</v>
      </c>
      <c r="M311" s="47">
        <f ca="1">IFERROR(__xludf.DUMMYFUNCTION("IMPORTRANGE(""https://docs.google.com/spreadsheets/d/1-uDff_7J0KD5mKrp0Vvzr7lt3OU09vwQwhkpOPPYv2Y/edit?usp=sharing"",""งบพรบ!EE17"")"),0)</f>
        <v>0</v>
      </c>
      <c r="N311" s="47">
        <f ca="1">IFERROR(__xludf.DUMMYFUNCTION("IMPORTRANGE(""https://docs.google.com/spreadsheets/d/1-uDff_7J0KD5mKrp0Vvzr7lt3OU09vwQwhkpOPPYv2Y/edit?usp=sharing"",""งบพรบ!EG17"")"),0)</f>
        <v>0</v>
      </c>
      <c r="O311" s="47">
        <f ca="1">IF(L311&gt;0,N311*100/L311,0)</f>
        <v>0</v>
      </c>
      <c r="P311" s="47">
        <f ca="1">IF(M311&gt;0,N311*100/M311,0)</f>
        <v>0</v>
      </c>
    </row>
    <row r="312" spans="1:16" ht="19.5" x14ac:dyDescent="0.3">
      <c r="A312" s="148"/>
      <c r="B312" s="149"/>
      <c r="C312" s="197" t="s">
        <v>16</v>
      </c>
      <c r="D312" s="395" t="s">
        <v>36</v>
      </c>
      <c r="E312" s="151"/>
      <c r="F312" s="151"/>
      <c r="G312" s="152"/>
      <c r="H312" s="153"/>
      <c r="I312" s="45"/>
      <c r="J312" s="45"/>
      <c r="K312" s="46"/>
      <c r="L312" s="46"/>
      <c r="M312" s="46"/>
      <c r="N312" s="46"/>
      <c r="O312" s="46"/>
      <c r="P312" s="46"/>
    </row>
    <row r="313" spans="1:16" ht="18.75" x14ac:dyDescent="0.25">
      <c r="A313" s="148"/>
      <c r="B313" s="149"/>
      <c r="C313" s="149"/>
      <c r="D313" s="159" t="s">
        <v>122</v>
      </c>
      <c r="E313" s="155"/>
      <c r="F313" s="155"/>
      <c r="G313" s="153"/>
      <c r="H313" s="153"/>
      <c r="I313" s="45"/>
      <c r="J313" s="250">
        <v>0</v>
      </c>
      <c r="K313" s="46"/>
      <c r="L313" s="46"/>
      <c r="M313" s="46"/>
      <c r="N313" s="46"/>
      <c r="O313" s="46"/>
      <c r="P313" s="46"/>
    </row>
    <row r="314" spans="1:16" ht="18.75" x14ac:dyDescent="0.25">
      <c r="A314" s="148"/>
      <c r="B314" s="149"/>
      <c r="C314" s="149"/>
      <c r="D314" s="159" t="s">
        <v>115</v>
      </c>
      <c r="E314" s="155"/>
      <c r="F314" s="155"/>
      <c r="G314" s="153"/>
      <c r="H314" s="251" t="s">
        <v>33</v>
      </c>
      <c r="I314" s="169">
        <f ca="1">IFERROR(__xludf.DUMMYFUNCTION("IMPORTRANGE(""https://docs.google.com/spreadsheets/d/1eHaY18a8A9IcSdp1K8H6x8fbOy06t2VsZHhMHf-1x7Y/edit?usp=sharing"",""แผน!EF17"")"),20)</f>
        <v>20</v>
      </c>
      <c r="J314" s="250">
        <v>0</v>
      </c>
      <c r="K314" s="47">
        <f ca="1">IF(I314&gt;0,J314*100/I314,0)</f>
        <v>0</v>
      </c>
      <c r="L314" s="46"/>
      <c r="M314" s="46"/>
      <c r="N314" s="46"/>
      <c r="O314" s="46"/>
      <c r="P314" s="46"/>
    </row>
    <row r="315" spans="1:16" ht="18.75" x14ac:dyDescent="0.25">
      <c r="A315" s="148"/>
      <c r="B315" s="149"/>
      <c r="C315" s="149"/>
      <c r="D315" s="159" t="s">
        <v>123</v>
      </c>
      <c r="E315" s="155"/>
      <c r="F315" s="155"/>
      <c r="G315" s="153"/>
      <c r="H315" s="251" t="s">
        <v>33</v>
      </c>
      <c r="I315" s="169">
        <f ca="1">IFERROR(__xludf.DUMMYFUNCTION("IMPORTRANGE(""https://docs.google.com/spreadsheets/d/1eHaY18a8A9IcSdp1K8H6x8fbOy06t2VsZHhMHf-1x7Y/edit?usp=sharing"",""แผน!EG17"")"),4)</f>
        <v>4</v>
      </c>
      <c r="J315" s="250">
        <v>0</v>
      </c>
      <c r="K315" s="47">
        <f ca="1">IF(I315&gt;0,J315*100/I315,0)</f>
        <v>0</v>
      </c>
      <c r="L315" s="46"/>
      <c r="M315" s="46"/>
      <c r="N315" s="46"/>
      <c r="O315" s="46"/>
      <c r="P315" s="46"/>
    </row>
    <row r="316" spans="1:16" ht="18.75" x14ac:dyDescent="0.25">
      <c r="A316" s="148"/>
      <c r="B316" s="149"/>
      <c r="C316" s="149"/>
      <c r="D316" s="159" t="s">
        <v>48</v>
      </c>
      <c r="E316" s="155"/>
      <c r="F316" s="155"/>
      <c r="G316" s="153"/>
      <c r="H316" s="251" t="s">
        <v>33</v>
      </c>
      <c r="I316" s="169">
        <f ca="1">IFERROR(__xludf.DUMMYFUNCTION("IMPORTRANGE(""https://docs.google.com/spreadsheets/d/1eHaY18a8A9IcSdp1K8H6x8fbOy06t2VsZHhMHf-1x7Y/edit?usp=sharing"",""แผน!EH17"")"),20)</f>
        <v>20</v>
      </c>
      <c r="J316" s="250">
        <v>0</v>
      </c>
      <c r="K316" s="47">
        <f ca="1">IF(I316&gt;0,J316*100/I316,0)</f>
        <v>0</v>
      </c>
      <c r="L316" s="46"/>
      <c r="M316" s="46"/>
      <c r="N316" s="46"/>
      <c r="O316" s="46"/>
      <c r="P316" s="46"/>
    </row>
    <row r="317" spans="1:16" ht="18.75" hidden="1" x14ac:dyDescent="0.25">
      <c r="A317" s="227"/>
      <c r="B317" s="228"/>
      <c r="C317" s="228"/>
      <c r="D317" s="279" t="s">
        <v>124</v>
      </c>
      <c r="E317" s="41"/>
      <c r="F317" s="41"/>
      <c r="G317" s="43"/>
      <c r="H317" s="49" t="s">
        <v>33</v>
      </c>
      <c r="I317" s="200">
        <f ca="1">IFERROR(__xludf.DUMMYFUNCTION("IMPORTRANGE(""https://docs.google.com/spreadsheets/d/1eHaY18a8A9IcSdp1K8H6x8fbOy06t2VsZHhMHf-1x7Y/edit?usp=sharing"",""แผน!EI17"")"),4)</f>
        <v>4</v>
      </c>
      <c r="J317" s="200">
        <v>0</v>
      </c>
      <c r="K317" s="50">
        <f ca="1">IF(I317&gt;0,J317*100/I317,0)</f>
        <v>0</v>
      </c>
      <c r="L317" s="46"/>
      <c r="M317" s="46"/>
      <c r="N317" s="46"/>
      <c r="O317" s="46"/>
      <c r="P317" s="46"/>
    </row>
    <row r="318" spans="1:16" ht="19.5" hidden="1" x14ac:dyDescent="0.3">
      <c r="A318" s="317" t="s">
        <v>125</v>
      </c>
      <c r="B318" s="318"/>
      <c r="C318" s="318"/>
      <c r="D318" s="319"/>
      <c r="E318" s="318"/>
      <c r="F318" s="318"/>
      <c r="G318" s="318"/>
      <c r="H318" s="319"/>
      <c r="I318" s="321"/>
      <c r="J318" s="321"/>
      <c r="K318" s="322"/>
      <c r="L318" s="322"/>
      <c r="M318" s="322"/>
      <c r="N318" s="322"/>
      <c r="O318" s="322"/>
      <c r="P318" s="322"/>
    </row>
    <row r="319" spans="1:16" ht="19.5" hidden="1" x14ac:dyDescent="0.3">
      <c r="A319" s="331"/>
      <c r="B319" s="324" t="s">
        <v>126</v>
      </c>
      <c r="C319" s="332"/>
      <c r="D319" s="333"/>
      <c r="E319" s="325"/>
      <c r="F319" s="325"/>
      <c r="G319" s="326"/>
      <c r="H319" s="327" t="s">
        <v>127</v>
      </c>
      <c r="I319" s="328">
        <f ca="1">I330</f>
        <v>0</v>
      </c>
      <c r="J319" s="328">
        <f>J330</f>
        <v>0</v>
      </c>
      <c r="K319" s="329">
        <f ca="1">IF(I319&gt;0,J319*100/I319,0)</f>
        <v>0</v>
      </c>
      <c r="L319" s="330"/>
      <c r="M319" s="330"/>
      <c r="N319" s="330"/>
      <c r="O319" s="330"/>
      <c r="P319" s="330"/>
    </row>
    <row r="320" spans="1:16" ht="19.5" hidden="1" x14ac:dyDescent="0.3">
      <c r="A320" s="136"/>
      <c r="B320" s="41"/>
      <c r="C320" s="197" t="s">
        <v>16</v>
      </c>
      <c r="D320" s="397" t="s">
        <v>17</v>
      </c>
      <c r="E320" s="41"/>
      <c r="F320" s="41"/>
      <c r="G320" s="43"/>
      <c r="H320" s="139" t="s">
        <v>12</v>
      </c>
      <c r="I320" s="45"/>
      <c r="J320" s="45"/>
      <c r="K320" s="46"/>
      <c r="L320" s="140">
        <f ca="1">L321+L322</f>
        <v>0</v>
      </c>
      <c r="M320" s="140">
        <f ca="1">M321+M322</f>
        <v>0</v>
      </c>
      <c r="N320" s="140">
        <f ca="1">N321+N322</f>
        <v>0</v>
      </c>
      <c r="O320" s="140">
        <f ca="1">IF(L320&gt;0,N320*100/L320,0)</f>
        <v>0</v>
      </c>
      <c r="P320" s="140">
        <f ca="1">IF(M320&gt;0,N320*100/M320,0)</f>
        <v>0</v>
      </c>
    </row>
    <row r="321" spans="1:16" ht="18.75" hidden="1" x14ac:dyDescent="0.25">
      <c r="A321" s="136"/>
      <c r="B321" s="41"/>
      <c r="C321" s="41"/>
      <c r="D321" s="41"/>
      <c r="E321" s="279" t="s">
        <v>18</v>
      </c>
      <c r="F321" s="41"/>
      <c r="G321" s="43"/>
      <c r="H321" s="141" t="s">
        <v>12</v>
      </c>
      <c r="I321" s="45"/>
      <c r="J321" s="45"/>
      <c r="K321" s="46"/>
      <c r="L321" s="50">
        <f>L324+L327</f>
        <v>0</v>
      </c>
      <c r="M321" s="50">
        <f>M324+M327</f>
        <v>0</v>
      </c>
      <c r="N321" s="50">
        <f>N324+N327</f>
        <v>0</v>
      </c>
      <c r="O321" s="50">
        <f>IF(L321&gt;0,N321*100/L321,0)</f>
        <v>0</v>
      </c>
      <c r="P321" s="50">
        <f>IF(M321&gt;0,N321*100/M321,0)</f>
        <v>0</v>
      </c>
    </row>
    <row r="322" spans="1:16" ht="18.75" hidden="1" x14ac:dyDescent="0.25">
      <c r="A322" s="136"/>
      <c r="B322" s="41"/>
      <c r="C322" s="41"/>
      <c r="D322" s="41"/>
      <c r="E322" s="254" t="s">
        <v>19</v>
      </c>
      <c r="F322" s="41"/>
      <c r="G322" s="43"/>
      <c r="H322" s="142" t="s">
        <v>12</v>
      </c>
      <c r="I322" s="45"/>
      <c r="J322" s="45"/>
      <c r="K322" s="46"/>
      <c r="L322" s="47">
        <f ca="1">L325+L328</f>
        <v>0</v>
      </c>
      <c r="M322" s="47">
        <f ca="1">M325+M328</f>
        <v>0</v>
      </c>
      <c r="N322" s="47">
        <f ca="1">N325+N328</f>
        <v>0</v>
      </c>
      <c r="O322" s="47">
        <f ca="1">IF(L322&gt;0,N322*100/L322,0)</f>
        <v>0</v>
      </c>
      <c r="P322" s="47">
        <f ca="1">IF(M322&gt;0,N322*100/M322,0)</f>
        <v>0</v>
      </c>
    </row>
    <row r="323" spans="1:16" ht="18.75" hidden="1" x14ac:dyDescent="0.25">
      <c r="A323" s="136"/>
      <c r="B323" s="41"/>
      <c r="C323" s="41"/>
      <c r="D323" s="42" t="s">
        <v>20</v>
      </c>
      <c r="E323" s="41"/>
      <c r="F323" s="41"/>
      <c r="G323" s="43"/>
      <c r="H323" s="143" t="s">
        <v>12</v>
      </c>
      <c r="I323" s="144"/>
      <c r="J323" s="144"/>
      <c r="K323" s="145"/>
      <c r="L323" s="47">
        <f ca="1">L324+L325</f>
        <v>0</v>
      </c>
      <c r="M323" s="47">
        <f ca="1">M324+M325</f>
        <v>0</v>
      </c>
      <c r="N323" s="47">
        <f ca="1">N324+N325</f>
        <v>0</v>
      </c>
      <c r="O323" s="47">
        <f ca="1">IF(L323&gt;0,N323*100/L323,0)</f>
        <v>0</v>
      </c>
      <c r="P323" s="47">
        <f ca="1">IF(M323&gt;0,N323*100/M323,0)</f>
        <v>0</v>
      </c>
    </row>
    <row r="324" spans="1:16" ht="18.75" hidden="1" x14ac:dyDescent="0.25">
      <c r="A324" s="136"/>
      <c r="B324" s="41"/>
      <c r="C324" s="41"/>
      <c r="D324" s="41"/>
      <c r="E324" s="279" t="s">
        <v>34</v>
      </c>
      <c r="F324" s="41"/>
      <c r="G324" s="43"/>
      <c r="H324" s="146" t="s">
        <v>12</v>
      </c>
      <c r="I324" s="144"/>
      <c r="J324" s="144"/>
      <c r="K324" s="145"/>
      <c r="L324" s="50">
        <v>0</v>
      </c>
      <c r="M324" s="50">
        <v>0</v>
      </c>
      <c r="N324" s="50">
        <v>0</v>
      </c>
      <c r="O324" s="50">
        <f>IF(L324&gt;0,N324*100/L324,0)</f>
        <v>0</v>
      </c>
      <c r="P324" s="50">
        <f>IF(M324&gt;0,N324*100/M324,0)</f>
        <v>0</v>
      </c>
    </row>
    <row r="325" spans="1:16" ht="18.75" hidden="1" x14ac:dyDescent="0.25">
      <c r="A325" s="136"/>
      <c r="B325" s="41"/>
      <c r="C325" s="41"/>
      <c r="D325" s="41"/>
      <c r="E325" s="254" t="s">
        <v>35</v>
      </c>
      <c r="F325" s="41"/>
      <c r="G325" s="43"/>
      <c r="H325" s="143" t="s">
        <v>12</v>
      </c>
      <c r="I325" s="144"/>
      <c r="J325" s="144"/>
      <c r="K325" s="145"/>
      <c r="L325" s="47">
        <f ca="1">IFERROR(__xludf.DUMMYFUNCTION("IMPORTRANGE(""https://docs.google.com/spreadsheets/d/1-uDff_7J0KD5mKrp0Vvzr7lt3OU09vwQwhkpOPPYv2Y/edit?usp=sharing"",""งบพรบ!EI17"")"),0)</f>
        <v>0</v>
      </c>
      <c r="M325" s="47">
        <f ca="1">IFERROR(__xludf.DUMMYFUNCTION("IMPORTRANGE(""https://docs.google.com/spreadsheets/d/1-uDff_7J0KD5mKrp0Vvzr7lt3OU09vwQwhkpOPPYv2Y/edit?usp=sharing"",""งบพรบ!EN17"")"),0)</f>
        <v>0</v>
      </c>
      <c r="N325" s="47">
        <f ca="1">IFERROR(__xludf.DUMMYFUNCTION("IMPORTRANGE(""https://docs.google.com/spreadsheets/d/1-uDff_7J0KD5mKrp0Vvzr7lt3OU09vwQwhkpOPPYv2Y/edit?usp=sharing"",""งบพรบ!EP17"")"),0)</f>
        <v>0</v>
      </c>
      <c r="O325" s="47">
        <f ca="1">IF(L325&gt;0,N325*100/L325,0)</f>
        <v>0</v>
      </c>
      <c r="P325" s="47">
        <f ca="1">IF(M325&gt;0,N325*100/M325,0)</f>
        <v>0</v>
      </c>
    </row>
    <row r="326" spans="1:16" ht="18.75" hidden="1" x14ac:dyDescent="0.25">
      <c r="A326" s="136"/>
      <c r="B326" s="41"/>
      <c r="C326" s="41"/>
      <c r="D326" s="42" t="s">
        <v>21</v>
      </c>
      <c r="E326" s="41"/>
      <c r="F326" s="41"/>
      <c r="G326" s="43"/>
      <c r="H326" s="147" t="s">
        <v>12</v>
      </c>
      <c r="I326" s="144"/>
      <c r="J326" s="144"/>
      <c r="K326" s="145"/>
      <c r="L326" s="47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</row>
    <row r="327" spans="1:16" ht="18.75" hidden="1" x14ac:dyDescent="0.25">
      <c r="A327" s="136"/>
      <c r="B327" s="41"/>
      <c r="C327" s="41"/>
      <c r="D327" s="41"/>
      <c r="E327" s="279" t="s">
        <v>18</v>
      </c>
      <c r="F327" s="41"/>
      <c r="G327" s="43"/>
      <c r="H327" s="146" t="s">
        <v>12</v>
      </c>
      <c r="I327" s="144"/>
      <c r="J327" s="144"/>
      <c r="K327" s="145"/>
      <c r="L327" s="50">
        <v>0</v>
      </c>
      <c r="M327" s="50">
        <v>0</v>
      </c>
      <c r="N327" s="50">
        <v>0</v>
      </c>
      <c r="O327" s="50">
        <f>IF(L327&gt;0,N327*100/L327,0)</f>
        <v>0</v>
      </c>
      <c r="P327" s="50">
        <f>IF(M327&gt;0,N327*100/M327,0)</f>
        <v>0</v>
      </c>
    </row>
    <row r="328" spans="1:16" ht="18.75" hidden="1" x14ac:dyDescent="0.25">
      <c r="A328" s="136"/>
      <c r="B328" s="41"/>
      <c r="C328" s="41"/>
      <c r="D328" s="41"/>
      <c r="E328" s="254" t="s">
        <v>19</v>
      </c>
      <c r="F328" s="41"/>
      <c r="G328" s="43"/>
      <c r="H328" s="147" t="s">
        <v>12</v>
      </c>
      <c r="I328" s="144"/>
      <c r="J328" s="144"/>
      <c r="K328" s="145"/>
      <c r="L328" s="47">
        <f ca="1">IFERROR(__xludf.DUMMYFUNCTION("IMPORTRANGE(""https://docs.google.com/spreadsheets/d/1-uDff_7J0KD5mKrp0Vvzr7lt3OU09vwQwhkpOPPYv2Y/edit?usp=sharing"",""งบพรบ!EL17"")"),0)</f>
        <v>0</v>
      </c>
      <c r="M328" s="47">
        <f ca="1">IFERROR(__xludf.DUMMYFUNCTION("IMPORTRANGE(""https://docs.google.com/spreadsheets/d/1-uDff_7J0KD5mKrp0Vvzr7lt3OU09vwQwhkpOPPYv2Y/edit?usp=sharing"",""งบพรบ!EO17"")"),0)</f>
        <v>0</v>
      </c>
      <c r="N328" s="47">
        <f ca="1">IFERROR(__xludf.DUMMYFUNCTION("IMPORTRANGE(""https://docs.google.com/spreadsheets/d/1-uDff_7J0KD5mKrp0Vvzr7lt3OU09vwQwhkpOPPYv2Y/edit?usp=sharing"",""งบพรบ!EQ17"")"),0)</f>
        <v>0</v>
      </c>
      <c r="O328" s="47">
        <f ca="1">IF(L328&gt;0,N328*100/L328,0)</f>
        <v>0</v>
      </c>
      <c r="P328" s="47">
        <f ca="1">IF(M328&gt;0,N328*100/M328,0)</f>
        <v>0</v>
      </c>
    </row>
    <row r="329" spans="1:16" ht="19.5" hidden="1" x14ac:dyDescent="0.3">
      <c r="A329" s="148"/>
      <c r="B329" s="149"/>
      <c r="C329" s="197" t="s">
        <v>16</v>
      </c>
      <c r="D329" s="395" t="s">
        <v>36</v>
      </c>
      <c r="E329" s="151"/>
      <c r="F329" s="151"/>
      <c r="G329" s="152"/>
      <c r="H329" s="153"/>
      <c r="I329" s="144"/>
      <c r="J329" s="45"/>
      <c r="K329" s="46"/>
      <c r="L329" s="46"/>
      <c r="M329" s="46"/>
      <c r="N329" s="46"/>
      <c r="O329" s="145"/>
      <c r="P329" s="145"/>
    </row>
    <row r="330" spans="1:16" ht="18.75" hidden="1" x14ac:dyDescent="0.25">
      <c r="A330" s="148"/>
      <c r="B330" s="149"/>
      <c r="C330" s="149"/>
      <c r="D330" s="154" t="s">
        <v>128</v>
      </c>
      <c r="E330" s="155"/>
      <c r="F330" s="155"/>
      <c r="G330" s="153"/>
      <c r="H330" s="44" t="s">
        <v>127</v>
      </c>
      <c r="I330" s="169">
        <f ca="1">IFERROR(__xludf.DUMMYFUNCTION("IMPORTRANGE(""https://docs.google.com/spreadsheets/d/1eHaY18a8A9IcSdp1K8H6x8fbOy06t2VsZHhMHf-1x7Y/edit?usp=sharing"",""แผน!EJ17"")"),0)</f>
        <v>0</v>
      </c>
      <c r="J330" s="250">
        <v>0</v>
      </c>
      <c r="K330" s="47">
        <f ca="1">IF(I330&gt;0,J330*100/I330,0)</f>
        <v>0</v>
      </c>
      <c r="L330" s="46"/>
      <c r="M330" s="46"/>
      <c r="N330" s="46"/>
      <c r="O330" s="145"/>
      <c r="P330" s="145"/>
    </row>
    <row r="331" spans="1:16" ht="19.5" x14ac:dyDescent="0.3">
      <c r="A331" s="317" t="s">
        <v>129</v>
      </c>
      <c r="B331" s="318"/>
      <c r="C331" s="318"/>
      <c r="D331" s="319"/>
      <c r="E331" s="318"/>
      <c r="F331" s="318"/>
      <c r="G331" s="318"/>
      <c r="H331" s="319"/>
      <c r="I331" s="321"/>
      <c r="J331" s="321"/>
      <c r="K331" s="322"/>
      <c r="L331" s="322"/>
      <c r="M331" s="322"/>
      <c r="N331" s="322"/>
      <c r="O331" s="322"/>
      <c r="P331" s="322"/>
    </row>
    <row r="332" spans="1:16" ht="19.5" x14ac:dyDescent="0.3">
      <c r="A332" s="323"/>
      <c r="B332" s="324" t="s">
        <v>130</v>
      </c>
      <c r="C332" s="333"/>
      <c r="D332" s="325"/>
      <c r="E332" s="325"/>
      <c r="F332" s="325"/>
      <c r="G332" s="326"/>
      <c r="H332" s="327" t="s">
        <v>33</v>
      </c>
      <c r="I332" s="334">
        <f ca="1">I344</f>
        <v>600</v>
      </c>
      <c r="J332" s="335">
        <f ca="1">J344+J347+J348+J349+J353</f>
        <v>1344</v>
      </c>
      <c r="K332" s="336">
        <f ca="1">IF(I332&gt;0,J332*100/I332,0)</f>
        <v>224</v>
      </c>
      <c r="L332" s="330"/>
      <c r="M332" s="330"/>
      <c r="N332" s="330"/>
      <c r="O332" s="330"/>
      <c r="P332" s="330"/>
    </row>
    <row r="333" spans="1:16" ht="19.5" x14ac:dyDescent="0.3">
      <c r="A333" s="136"/>
      <c r="B333" s="41"/>
      <c r="C333" s="197" t="s">
        <v>16</v>
      </c>
      <c r="D333" s="397" t="s">
        <v>17</v>
      </c>
      <c r="E333" s="41"/>
      <c r="F333" s="41"/>
      <c r="G333" s="43"/>
      <c r="H333" s="139" t="s">
        <v>12</v>
      </c>
      <c r="I333" s="45"/>
      <c r="J333" s="45"/>
      <c r="K333" s="46"/>
      <c r="L333" s="140">
        <f ca="1">L334+L335</f>
        <v>105000</v>
      </c>
      <c r="M333" s="140">
        <f ca="1">M334+M335</f>
        <v>83350</v>
      </c>
      <c r="N333" s="140">
        <f ca="1">N334+N335</f>
        <v>22450</v>
      </c>
      <c r="O333" s="140">
        <f ca="1">IF(L333&gt;0,N333*100/L333,0)</f>
        <v>21.38095238095238</v>
      </c>
      <c r="P333" s="140">
        <f ca="1">IF(M333&gt;0,N333*100/M333,0)</f>
        <v>26.934613077384522</v>
      </c>
    </row>
    <row r="334" spans="1:16" ht="18.75" hidden="1" x14ac:dyDescent="0.25">
      <c r="A334" s="136"/>
      <c r="B334" s="41"/>
      <c r="C334" s="41"/>
      <c r="D334" s="41"/>
      <c r="E334" s="279" t="s">
        <v>18</v>
      </c>
      <c r="F334" s="41"/>
      <c r="G334" s="43"/>
      <c r="H334" s="141" t="s">
        <v>12</v>
      </c>
      <c r="I334" s="45"/>
      <c r="J334" s="45"/>
      <c r="K334" s="46"/>
      <c r="L334" s="50">
        <f>L337+L340</f>
        <v>0</v>
      </c>
      <c r="M334" s="50">
        <f>M337+M340</f>
        <v>0</v>
      </c>
      <c r="N334" s="50">
        <f>N337+N340</f>
        <v>0</v>
      </c>
      <c r="O334" s="50">
        <f>IF(L334&gt;0,N334*100/L334,0)</f>
        <v>0</v>
      </c>
      <c r="P334" s="50">
        <f>IF(M334&gt;0,N334*100/M334,0)</f>
        <v>0</v>
      </c>
    </row>
    <row r="335" spans="1:16" ht="18.75" x14ac:dyDescent="0.25">
      <c r="A335" s="136"/>
      <c r="B335" s="41"/>
      <c r="C335" s="41"/>
      <c r="D335" s="41"/>
      <c r="E335" s="254" t="s">
        <v>19</v>
      </c>
      <c r="F335" s="41"/>
      <c r="G335" s="43"/>
      <c r="H335" s="142" t="s">
        <v>12</v>
      </c>
      <c r="I335" s="45"/>
      <c r="J335" s="45"/>
      <c r="K335" s="46"/>
      <c r="L335" s="47">
        <f ca="1">L338+L341</f>
        <v>105000</v>
      </c>
      <c r="M335" s="47">
        <f ca="1">M338+M341</f>
        <v>83350</v>
      </c>
      <c r="N335" s="47">
        <f ca="1">N338+N341</f>
        <v>22450</v>
      </c>
      <c r="O335" s="47">
        <f ca="1">IF(L335&gt;0,N335*100/L335,0)</f>
        <v>21.38095238095238</v>
      </c>
      <c r="P335" s="47">
        <f ca="1">IF(M335&gt;0,N335*100/M335,0)</f>
        <v>26.934613077384522</v>
      </c>
    </row>
    <row r="336" spans="1:16" ht="18.75" x14ac:dyDescent="0.25">
      <c r="A336" s="136"/>
      <c r="B336" s="41"/>
      <c r="C336" s="41"/>
      <c r="D336" s="42" t="s">
        <v>20</v>
      </c>
      <c r="E336" s="41"/>
      <c r="F336" s="41"/>
      <c r="G336" s="43"/>
      <c r="H336" s="143" t="s">
        <v>12</v>
      </c>
      <c r="I336" s="144"/>
      <c r="J336" s="144"/>
      <c r="K336" s="145"/>
      <c r="L336" s="47">
        <f ca="1">L337+L338</f>
        <v>105000</v>
      </c>
      <c r="M336" s="47">
        <f ca="1">M337+M338</f>
        <v>83350</v>
      </c>
      <c r="N336" s="47">
        <f ca="1">N337+N338</f>
        <v>22450</v>
      </c>
      <c r="O336" s="47">
        <f ca="1">IF(L336&gt;0,N336*100/L336,0)</f>
        <v>21.38095238095238</v>
      </c>
      <c r="P336" s="47">
        <f ca="1">IF(M336&gt;0,N336*100/M336,0)</f>
        <v>26.934613077384522</v>
      </c>
    </row>
    <row r="337" spans="1:16" ht="18.75" hidden="1" x14ac:dyDescent="0.25">
      <c r="A337" s="136"/>
      <c r="B337" s="41"/>
      <c r="C337" s="41"/>
      <c r="D337" s="41"/>
      <c r="E337" s="279" t="s">
        <v>34</v>
      </c>
      <c r="F337" s="41"/>
      <c r="G337" s="43"/>
      <c r="H337" s="146" t="s">
        <v>12</v>
      </c>
      <c r="I337" s="144"/>
      <c r="J337" s="144"/>
      <c r="K337" s="145"/>
      <c r="L337" s="50">
        <v>0</v>
      </c>
      <c r="M337" s="50">
        <v>0</v>
      </c>
      <c r="N337" s="50">
        <v>0</v>
      </c>
      <c r="O337" s="50">
        <f>IF(L337&gt;0,N337*100/L337,0)</f>
        <v>0</v>
      </c>
      <c r="P337" s="50">
        <f>IF(M337&gt;0,N337*100/M337,0)</f>
        <v>0</v>
      </c>
    </row>
    <row r="338" spans="1:16" ht="18.75" x14ac:dyDescent="0.25">
      <c r="A338" s="136"/>
      <c r="B338" s="41"/>
      <c r="C338" s="41"/>
      <c r="D338" s="41"/>
      <c r="E338" s="254" t="s">
        <v>35</v>
      </c>
      <c r="F338" s="41"/>
      <c r="G338" s="43"/>
      <c r="H338" s="143" t="s">
        <v>12</v>
      </c>
      <c r="I338" s="144"/>
      <c r="J338" s="144"/>
      <c r="K338" s="145"/>
      <c r="L338" s="47">
        <f ca="1">IFERROR(__xludf.DUMMYFUNCTION("IMPORTRANGE(""https://docs.google.com/spreadsheets/d/1-uDff_7J0KD5mKrp0Vvzr7lt3OU09vwQwhkpOPPYv2Y/edit?usp=sharing"",""งบพรบ!ES17"")"),105000)</f>
        <v>105000</v>
      </c>
      <c r="M338" s="47">
        <f ca="1">IFERROR(__xludf.DUMMYFUNCTION("IMPORTRANGE(""https://docs.google.com/spreadsheets/d/1-uDff_7J0KD5mKrp0Vvzr7lt3OU09vwQwhkpOPPYv2Y/edit?usp=sharing"",""งบพรบ!EX17"")"),83350)</f>
        <v>83350</v>
      </c>
      <c r="N338" s="47">
        <f ca="1">IFERROR(__xludf.DUMMYFUNCTION("IMPORTRANGE(""https://docs.google.com/spreadsheets/d/1-uDff_7J0KD5mKrp0Vvzr7lt3OU09vwQwhkpOPPYv2Y/edit?usp=sharing"",""งบพรบ!EZ17"")"),22450)</f>
        <v>22450</v>
      </c>
      <c r="O338" s="47">
        <f ca="1">IF(L338&gt;0,N338*100/L338,0)</f>
        <v>21.38095238095238</v>
      </c>
      <c r="P338" s="47">
        <f ca="1">IF(M338&gt;0,N338*100/M338,0)</f>
        <v>26.934613077384522</v>
      </c>
    </row>
    <row r="339" spans="1:16" ht="18.75" x14ac:dyDescent="0.25">
      <c r="A339" s="136"/>
      <c r="B339" s="41"/>
      <c r="C339" s="41"/>
      <c r="D339" s="42" t="s">
        <v>21</v>
      </c>
      <c r="E339" s="41"/>
      <c r="F339" s="41"/>
      <c r="G339" s="43"/>
      <c r="H339" s="147" t="s">
        <v>12</v>
      </c>
      <c r="I339" s="144"/>
      <c r="J339" s="144"/>
      <c r="K339" s="145"/>
      <c r="L339" s="47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</row>
    <row r="340" spans="1:16" ht="18.75" hidden="1" x14ac:dyDescent="0.25">
      <c r="A340" s="136"/>
      <c r="B340" s="41"/>
      <c r="C340" s="41"/>
      <c r="D340" s="41"/>
      <c r="E340" s="279" t="s">
        <v>18</v>
      </c>
      <c r="F340" s="41"/>
      <c r="G340" s="43"/>
      <c r="H340" s="146" t="s">
        <v>12</v>
      </c>
      <c r="I340" s="144"/>
      <c r="J340" s="144"/>
      <c r="K340" s="145"/>
      <c r="L340" s="50">
        <v>0</v>
      </c>
      <c r="M340" s="50">
        <v>0</v>
      </c>
      <c r="N340" s="50">
        <v>0</v>
      </c>
      <c r="O340" s="50">
        <f>IF(L340&gt;0,N340*100/L340,0)</f>
        <v>0</v>
      </c>
      <c r="P340" s="50">
        <f>IF(M340&gt;0,N340*100/M340,0)</f>
        <v>0</v>
      </c>
    </row>
    <row r="341" spans="1:16" ht="18.75" x14ac:dyDescent="0.25">
      <c r="A341" s="136"/>
      <c r="B341" s="41"/>
      <c r="C341" s="41"/>
      <c r="D341" s="41"/>
      <c r="E341" s="254" t="s">
        <v>19</v>
      </c>
      <c r="F341" s="41"/>
      <c r="G341" s="43"/>
      <c r="H341" s="147" t="s">
        <v>12</v>
      </c>
      <c r="I341" s="144"/>
      <c r="J341" s="144"/>
      <c r="K341" s="145"/>
      <c r="L341" s="47">
        <f ca="1">IFERROR(__xludf.DUMMYFUNCTION("IMPORTRANGE(""https://docs.google.com/spreadsheets/d/1-uDff_7J0KD5mKrp0Vvzr7lt3OU09vwQwhkpOPPYv2Y/edit?usp=sharing"",""งบพรบ!EV17"")"),0)</f>
        <v>0</v>
      </c>
      <c r="M341" s="47">
        <f ca="1">IFERROR(__xludf.DUMMYFUNCTION("IMPORTRANGE(""https://docs.google.com/spreadsheets/d/1-uDff_7J0KD5mKrp0Vvzr7lt3OU09vwQwhkpOPPYv2Y/edit?usp=sharing"",""งบพรบ!EY17"")"),0)</f>
        <v>0</v>
      </c>
      <c r="N341" s="47">
        <f ca="1">IFERROR(__xludf.DUMMYFUNCTION("IMPORTRANGE(""https://docs.google.com/spreadsheets/d/1-uDff_7J0KD5mKrp0Vvzr7lt3OU09vwQwhkpOPPYv2Y/edit?usp=sharing"",""งบพรบ!FA17"")"),0)</f>
        <v>0</v>
      </c>
      <c r="O341" s="47">
        <f ca="1">IF(L341&gt;0,N341*100/L341,0)</f>
        <v>0</v>
      </c>
      <c r="P341" s="47">
        <f ca="1">IF(M341&gt;0,N341*100/M341,0)</f>
        <v>0</v>
      </c>
    </row>
    <row r="342" spans="1:16" ht="19.5" x14ac:dyDescent="0.3">
      <c r="A342" s="148"/>
      <c r="B342" s="149"/>
      <c r="C342" s="197" t="s">
        <v>16</v>
      </c>
      <c r="D342" s="221" t="s">
        <v>36</v>
      </c>
      <c r="E342" s="151"/>
      <c r="F342" s="151"/>
      <c r="G342" s="152"/>
      <c r="H342" s="43"/>
      <c r="I342" s="45"/>
      <c r="J342" s="45"/>
      <c r="K342" s="46"/>
      <c r="L342" s="46"/>
      <c r="M342" s="46"/>
      <c r="N342" s="46"/>
      <c r="O342" s="145"/>
      <c r="P342" s="145"/>
    </row>
    <row r="343" spans="1:16" ht="19.5" x14ac:dyDescent="0.3">
      <c r="A343" s="337"/>
      <c r="B343" s="338"/>
      <c r="C343" s="339"/>
      <c r="D343" s="338"/>
      <c r="E343" s="398" t="s">
        <v>131</v>
      </c>
      <c r="F343" s="338"/>
      <c r="G343" s="341"/>
      <c r="H343" s="342" t="s">
        <v>33</v>
      </c>
      <c r="I343" s="343">
        <v>0</v>
      </c>
      <c r="J343" s="343">
        <f ca="1">J344+J347+J348+J349</f>
        <v>258</v>
      </c>
      <c r="K343" s="344">
        <v>0</v>
      </c>
      <c r="L343" s="345"/>
      <c r="M343" s="345"/>
      <c r="N343" s="345"/>
      <c r="O343" s="345"/>
      <c r="P343" s="345"/>
    </row>
    <row r="344" spans="1:16" ht="18.75" x14ac:dyDescent="0.25">
      <c r="A344" s="227"/>
      <c r="B344" s="41"/>
      <c r="C344" s="228"/>
      <c r="D344" s="155"/>
      <c r="E344" s="159" t="s">
        <v>132</v>
      </c>
      <c r="F344" s="41"/>
      <c r="G344" s="43"/>
      <c r="H344" s="230" t="s">
        <v>33</v>
      </c>
      <c r="I344" s="169">
        <f ca="1">IFERROR(__xludf.DUMMYFUNCTION("IMPORTRANGE(""https://docs.google.com/spreadsheets/d/1eHaY18a8A9IcSdp1K8H6x8fbOy06t2VsZHhMHf-1x7Y/edit?usp=sharing"",""แผน!EK17"")"),600)</f>
        <v>600</v>
      </c>
      <c r="J344" s="169">
        <f ca="1">IFERROR(__xludf.DUMMYFUNCTION("IMPORTRANGE(""https://docs.google.com/spreadsheets/d/1awYsYK3VOup2i3Pq_Yjnu8DRu_mYwSBnCR2QPthd0rU/edit?usp=sharing"",""ศูนย์ยกเว้นโฉนด!D17"")"),105)</f>
        <v>105</v>
      </c>
      <c r="K344" s="47">
        <f ca="1">IF(I344&gt;0,J344*100/I344,0)</f>
        <v>17.5</v>
      </c>
      <c r="L344" s="46"/>
      <c r="M344" s="46"/>
      <c r="N344" s="46"/>
      <c r="O344" s="46"/>
      <c r="P344" s="46"/>
    </row>
    <row r="345" spans="1:16" ht="18.75" x14ac:dyDescent="0.25">
      <c r="A345" s="227"/>
      <c r="B345" s="41"/>
      <c r="C345" s="228"/>
      <c r="D345" s="155"/>
      <c r="E345" s="159" t="s">
        <v>133</v>
      </c>
      <c r="F345" s="41"/>
      <c r="G345" s="43"/>
      <c r="H345" s="346"/>
      <c r="I345" s="45"/>
      <c r="J345" s="45"/>
      <c r="K345" s="46"/>
      <c r="L345" s="46"/>
      <c r="M345" s="46"/>
      <c r="N345" s="46"/>
      <c r="O345" s="46"/>
      <c r="P345" s="46"/>
    </row>
    <row r="346" spans="1:16" ht="18.75" x14ac:dyDescent="0.25">
      <c r="A346" s="227"/>
      <c r="B346" s="41"/>
      <c r="C346" s="228"/>
      <c r="D346" s="155"/>
      <c r="E346" s="155"/>
      <c r="F346" s="159" t="s">
        <v>134</v>
      </c>
      <c r="G346" s="43"/>
      <c r="H346" s="347" t="s">
        <v>135</v>
      </c>
      <c r="I346" s="169">
        <f ca="1">IFERROR(__xludf.DUMMYFUNCTION("IMPORTRANGE(""https://docs.google.com/spreadsheets/d/1eHaY18a8A9IcSdp1K8H6x8fbOy06t2VsZHhMHf-1x7Y/edit?usp=sharing"",""แผน!EL17"")"),4)</f>
        <v>4</v>
      </c>
      <c r="J346" s="169">
        <f ca="1">IFERROR(__xludf.DUMMYFUNCTION("IMPORTRANGE(""https://docs.google.com/spreadsheets/d/1awYsYK3VOup2i3Pq_Yjnu8DRu_mYwSBnCR2QPthd0rU/edit?usp=sharing"",""ศูนย์รวม!E17"")"),6)</f>
        <v>6</v>
      </c>
      <c r="K346" s="47">
        <f ca="1">IF(I346&gt;0,J346*100/I346,0)</f>
        <v>150</v>
      </c>
      <c r="L346" s="46"/>
      <c r="M346" s="46"/>
      <c r="N346" s="46"/>
      <c r="O346" s="46"/>
      <c r="P346" s="46"/>
    </row>
    <row r="347" spans="1:16" ht="18.75" x14ac:dyDescent="0.25">
      <c r="A347" s="227"/>
      <c r="B347" s="41"/>
      <c r="C347" s="228"/>
      <c r="D347" s="155"/>
      <c r="E347" s="155"/>
      <c r="F347" s="159" t="s">
        <v>136</v>
      </c>
      <c r="G347" s="43"/>
      <c r="H347" s="347" t="s">
        <v>33</v>
      </c>
      <c r="I347" s="45"/>
      <c r="J347" s="169">
        <f ca="1">IFERROR(__xludf.DUMMYFUNCTION("IMPORTRANGE(""https://docs.google.com/spreadsheets/d/1awYsYK3VOup2i3Pq_Yjnu8DRu_mYwSBnCR2QPthd0rU/edit?usp=sharing"",""ศูนย์ยกเว้นโฉนด!F17"")"),153)</f>
        <v>153</v>
      </c>
      <c r="K347" s="46"/>
      <c r="L347" s="46"/>
      <c r="M347" s="46"/>
      <c r="N347" s="46"/>
      <c r="O347" s="46"/>
      <c r="P347" s="46"/>
    </row>
    <row r="348" spans="1:16" ht="18.75" x14ac:dyDescent="0.25">
      <c r="A348" s="227"/>
      <c r="B348" s="41"/>
      <c r="C348" s="228"/>
      <c r="D348" s="155"/>
      <c r="E348" s="159" t="s">
        <v>137</v>
      </c>
      <c r="F348" s="155"/>
      <c r="G348" s="43"/>
      <c r="H348" s="347" t="s">
        <v>33</v>
      </c>
      <c r="I348" s="45"/>
      <c r="J348" s="169">
        <f ca="1">IFERROR(__xludf.DUMMYFUNCTION("IMPORTRANGE(""https://docs.google.com/spreadsheets/d/1awYsYK3VOup2i3Pq_Yjnu8DRu_mYwSBnCR2QPthd0rU/edit?usp=sharing"",""ศูนย์ยกเว้นโฉนด!G17"")"),0)</f>
        <v>0</v>
      </c>
      <c r="K348" s="46"/>
      <c r="L348" s="46"/>
      <c r="M348" s="46"/>
      <c r="N348" s="46"/>
      <c r="O348" s="46"/>
      <c r="P348" s="46"/>
    </row>
    <row r="349" spans="1:16" ht="18.75" x14ac:dyDescent="0.25">
      <c r="A349" s="227"/>
      <c r="B349" s="41"/>
      <c r="C349" s="228"/>
      <c r="D349" s="149"/>
      <c r="E349" s="159" t="s">
        <v>138</v>
      </c>
      <c r="F349" s="155"/>
      <c r="G349" s="43"/>
      <c r="H349" s="347" t="s">
        <v>33</v>
      </c>
      <c r="I349" s="45"/>
      <c r="J349" s="169">
        <f ca="1">IFERROR(__xludf.DUMMYFUNCTION("IMPORTRANGE(""https://docs.google.com/spreadsheets/d/1awYsYK3VOup2i3Pq_Yjnu8DRu_mYwSBnCR2QPthd0rU/edit?usp=sharing"",""ศูนย์ยกเว้นโฉนด!H17"")"),0)</f>
        <v>0</v>
      </c>
      <c r="K349" s="46"/>
      <c r="L349" s="46"/>
      <c r="M349" s="46"/>
      <c r="N349" s="46"/>
      <c r="O349" s="46"/>
      <c r="P349" s="46"/>
    </row>
    <row r="350" spans="1:16" ht="16.5" x14ac:dyDescent="0.25">
      <c r="A350" s="228"/>
      <c r="B350" s="41"/>
      <c r="C350" s="228"/>
      <c r="D350" s="34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1"/>
      <c r="F350" s="41"/>
      <c r="G350" s="43"/>
      <c r="H350" s="346"/>
      <c r="I350" s="45"/>
      <c r="J350" s="45"/>
      <c r="K350" s="46"/>
      <c r="L350" s="46"/>
      <c r="M350" s="46"/>
      <c r="N350" s="46"/>
      <c r="O350" s="46"/>
      <c r="P350" s="46"/>
    </row>
    <row r="351" spans="1:16" ht="19.5" x14ac:dyDescent="0.3">
      <c r="A351" s="233"/>
      <c r="B351" s="236"/>
      <c r="C351" s="234"/>
      <c r="D351" s="236"/>
      <c r="E351" s="396" t="s">
        <v>139</v>
      </c>
      <c r="F351" s="236"/>
      <c r="G351" s="237"/>
      <c r="H351" s="238" t="s">
        <v>33</v>
      </c>
      <c r="I351" s="239">
        <v>0</v>
      </c>
      <c r="J351" s="239">
        <f ca="1">J352+J353</f>
        <v>1207</v>
      </c>
      <c r="K351" s="240">
        <v>0</v>
      </c>
      <c r="L351" s="241"/>
      <c r="M351" s="241"/>
      <c r="N351" s="241"/>
      <c r="O351" s="241"/>
      <c r="P351" s="241"/>
    </row>
    <row r="352" spans="1:16" ht="18.75" x14ac:dyDescent="0.25">
      <c r="A352" s="228"/>
      <c r="B352" s="41"/>
      <c r="C352" s="228"/>
      <c r="D352" s="155"/>
      <c r="E352" s="159" t="s">
        <v>140</v>
      </c>
      <c r="F352" s="41"/>
      <c r="G352" s="43"/>
      <c r="H352" s="142" t="s">
        <v>33</v>
      </c>
      <c r="I352" s="45"/>
      <c r="J352" s="169">
        <f ca="1">IFERROR(__xludf.DUMMYFUNCTION("IMPORTRANGE(""https://docs.google.com/spreadsheets/d/1awYsYK3VOup2i3Pq_Yjnu8DRu_mYwSBnCR2QPthd0rU/edit?usp=sharing"",""โฉนดM3!G17"")"),121)</f>
        <v>121</v>
      </c>
      <c r="K352" s="46"/>
      <c r="L352" s="46"/>
      <c r="M352" s="46"/>
      <c r="N352" s="46"/>
      <c r="O352" s="46"/>
      <c r="P352" s="46"/>
    </row>
    <row r="353" spans="1:16" ht="18.75" x14ac:dyDescent="0.25">
      <c r="A353" s="228"/>
      <c r="B353" s="41"/>
      <c r="C353" s="228"/>
      <c r="D353" s="155"/>
      <c r="E353" s="159" t="s">
        <v>141</v>
      </c>
      <c r="F353" s="41"/>
      <c r="G353" s="43"/>
      <c r="H353" s="142" t="s">
        <v>33</v>
      </c>
      <c r="I353" s="45"/>
      <c r="J353" s="169">
        <f ca="1">IFERROR(__xludf.DUMMYFUNCTION("IMPORTRANGE(""https://docs.google.com/spreadsheets/d/1awYsYK3VOup2i3Pq_Yjnu8DRu_mYwSBnCR2QPthd0rU/edit?usp=sharing"",""โฉนดM3!H17"")"),1086)</f>
        <v>1086</v>
      </c>
      <c r="K353" s="46"/>
      <c r="L353" s="46"/>
      <c r="M353" s="46"/>
      <c r="N353" s="46"/>
      <c r="O353" s="46"/>
      <c r="P353" s="46"/>
    </row>
    <row r="354" spans="1:16" ht="16.5" x14ac:dyDescent="0.25">
      <c r="A354" s="228"/>
      <c r="B354" s="41"/>
      <c r="C354" s="228"/>
      <c r="D354" s="34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1"/>
      <c r="F354" s="41"/>
      <c r="G354" s="43"/>
      <c r="H354" s="346"/>
      <c r="I354" s="45"/>
      <c r="J354" s="45"/>
      <c r="K354" s="46"/>
      <c r="L354" s="46"/>
      <c r="M354" s="46"/>
      <c r="N354" s="46"/>
      <c r="O354" s="46"/>
      <c r="P354" s="46"/>
    </row>
    <row r="355" spans="1:16" ht="19.5" x14ac:dyDescent="0.3">
      <c r="A355" s="323"/>
      <c r="B355" s="324" t="s">
        <v>142</v>
      </c>
      <c r="C355" s="333"/>
      <c r="D355" s="325"/>
      <c r="E355" s="325"/>
      <c r="F355" s="325"/>
      <c r="G355" s="326"/>
      <c r="H355" s="326"/>
      <c r="I355" s="350"/>
      <c r="J355" s="350"/>
      <c r="K355" s="330"/>
      <c r="L355" s="330"/>
      <c r="M355" s="330"/>
      <c r="N355" s="330"/>
      <c r="O355" s="330"/>
      <c r="P355" s="330"/>
    </row>
    <row r="356" spans="1:16" ht="19.5" x14ac:dyDescent="0.3">
      <c r="A356" s="136"/>
      <c r="B356" s="41"/>
      <c r="C356" s="197" t="s">
        <v>16</v>
      </c>
      <c r="D356" s="397" t="s">
        <v>17</v>
      </c>
      <c r="E356" s="41"/>
      <c r="F356" s="41"/>
      <c r="G356" s="43"/>
      <c r="H356" s="139" t="s">
        <v>12</v>
      </c>
      <c r="I356" s="45"/>
      <c r="J356" s="45"/>
      <c r="K356" s="46"/>
      <c r="L356" s="140">
        <f ca="1">L357+L358</f>
        <v>446460</v>
      </c>
      <c r="M356" s="140">
        <f ca="1">M357+M358</f>
        <v>382460</v>
      </c>
      <c r="N356" s="140">
        <f ca="1">N357+N358</f>
        <v>43820</v>
      </c>
      <c r="O356" s="140">
        <f ca="1">IF(L356&gt;0,N356*100/L356,0)</f>
        <v>9.8149890247726557</v>
      </c>
      <c r="P356" s="140">
        <f ca="1">IF(M356&gt;0,N356*100/M356,0)</f>
        <v>11.457407310568426</v>
      </c>
    </row>
    <row r="357" spans="1:16" ht="18.75" hidden="1" x14ac:dyDescent="0.25">
      <c r="A357" s="136"/>
      <c r="B357" s="41"/>
      <c r="C357" s="41"/>
      <c r="D357" s="41"/>
      <c r="E357" s="279" t="s">
        <v>18</v>
      </c>
      <c r="F357" s="41"/>
      <c r="G357" s="43"/>
      <c r="H357" s="141" t="s">
        <v>12</v>
      </c>
      <c r="I357" s="45"/>
      <c r="J357" s="45"/>
      <c r="K357" s="46"/>
      <c r="L357" s="50">
        <f>L360+L363</f>
        <v>0</v>
      </c>
      <c r="M357" s="50">
        <f>M360+M363</f>
        <v>0</v>
      </c>
      <c r="N357" s="50">
        <f>N360+N363</f>
        <v>0</v>
      </c>
      <c r="O357" s="50">
        <f>IF(L357&gt;0,N357*100/L357,0)</f>
        <v>0</v>
      </c>
      <c r="P357" s="50">
        <f>IF(M357&gt;0,N357*100/M357,0)</f>
        <v>0</v>
      </c>
    </row>
    <row r="358" spans="1:16" ht="18.75" x14ac:dyDescent="0.25">
      <c r="A358" s="136"/>
      <c r="B358" s="41"/>
      <c r="C358" s="41"/>
      <c r="D358" s="41"/>
      <c r="E358" s="254" t="s">
        <v>19</v>
      </c>
      <c r="F358" s="41"/>
      <c r="G358" s="43"/>
      <c r="H358" s="142" t="s">
        <v>12</v>
      </c>
      <c r="I358" s="45"/>
      <c r="J358" s="45"/>
      <c r="K358" s="46"/>
      <c r="L358" s="47">
        <f ca="1">L361+L364</f>
        <v>446460</v>
      </c>
      <c r="M358" s="47">
        <f ca="1">M361+M364</f>
        <v>382460</v>
      </c>
      <c r="N358" s="47">
        <f ca="1">N361+N364</f>
        <v>43820</v>
      </c>
      <c r="O358" s="47">
        <f ca="1">IF(L358&gt;0,N358*100/L358,0)</f>
        <v>9.8149890247726557</v>
      </c>
      <c r="P358" s="47">
        <f ca="1">IF(M358&gt;0,N358*100/M358,0)</f>
        <v>11.457407310568426</v>
      </c>
    </row>
    <row r="359" spans="1:16" ht="18.75" x14ac:dyDescent="0.25">
      <c r="A359" s="136"/>
      <c r="B359" s="41"/>
      <c r="C359" s="41"/>
      <c r="D359" s="42" t="s">
        <v>20</v>
      </c>
      <c r="E359" s="41"/>
      <c r="F359" s="41"/>
      <c r="G359" s="43"/>
      <c r="H359" s="143" t="s">
        <v>12</v>
      </c>
      <c r="I359" s="144"/>
      <c r="J359" s="144"/>
      <c r="K359" s="145"/>
      <c r="L359" s="47">
        <f ca="1">L360+L361</f>
        <v>446460</v>
      </c>
      <c r="M359" s="47">
        <f ca="1">M360+M361</f>
        <v>382460</v>
      </c>
      <c r="N359" s="47">
        <f ca="1">N360+N361</f>
        <v>43820</v>
      </c>
      <c r="O359" s="47">
        <f ca="1">IF(L359&gt;0,N359*100/L359,0)</f>
        <v>9.8149890247726557</v>
      </c>
      <c r="P359" s="47">
        <f ca="1">IF(M359&gt;0,N359*100/M359,0)</f>
        <v>11.457407310568426</v>
      </c>
    </row>
    <row r="360" spans="1:16" ht="18.75" hidden="1" x14ac:dyDescent="0.25">
      <c r="A360" s="136"/>
      <c r="B360" s="41"/>
      <c r="C360" s="41"/>
      <c r="D360" s="41"/>
      <c r="E360" s="279" t="s">
        <v>34</v>
      </c>
      <c r="F360" s="41"/>
      <c r="G360" s="43"/>
      <c r="H360" s="146" t="s">
        <v>12</v>
      </c>
      <c r="I360" s="144"/>
      <c r="J360" s="144"/>
      <c r="K360" s="145"/>
      <c r="L360" s="50">
        <v>0</v>
      </c>
      <c r="M360" s="50">
        <v>0</v>
      </c>
      <c r="N360" s="50">
        <v>0</v>
      </c>
      <c r="O360" s="50">
        <f>IF(L360&gt;0,N360*100/L360,0)</f>
        <v>0</v>
      </c>
      <c r="P360" s="50">
        <f>IF(M360&gt;0,N360*100/M360,0)</f>
        <v>0</v>
      </c>
    </row>
    <row r="361" spans="1:16" ht="18.75" x14ac:dyDescent="0.25">
      <c r="A361" s="136"/>
      <c r="B361" s="41"/>
      <c r="C361" s="41"/>
      <c r="D361" s="41"/>
      <c r="E361" s="254" t="s">
        <v>35</v>
      </c>
      <c r="F361" s="41"/>
      <c r="G361" s="43"/>
      <c r="H361" s="143" t="s">
        <v>12</v>
      </c>
      <c r="I361" s="144"/>
      <c r="J361" s="144"/>
      <c r="K361" s="145"/>
      <c r="L361" s="47">
        <f ca="1">IFERROR(__xludf.DUMMYFUNCTION("IMPORTRANGE(""https://docs.google.com/spreadsheets/d/1-uDff_7J0KD5mKrp0Vvzr7lt3OU09vwQwhkpOPPYv2Y/edit?usp=sharing"",""งบพรบ!FC17"")"),446460)</f>
        <v>446460</v>
      </c>
      <c r="M361" s="47">
        <f ca="1">IFERROR(__xludf.DUMMYFUNCTION("IMPORTRANGE(""https://docs.google.com/spreadsheets/d/1-uDff_7J0KD5mKrp0Vvzr7lt3OU09vwQwhkpOPPYv2Y/edit?usp=sharing"",""งบพรบ!FH17"")"),382460)</f>
        <v>382460</v>
      </c>
      <c r="N361" s="47">
        <f ca="1">IFERROR(__xludf.DUMMYFUNCTION("IMPORTRANGE(""https://docs.google.com/spreadsheets/d/1-uDff_7J0KD5mKrp0Vvzr7lt3OU09vwQwhkpOPPYv2Y/edit?usp=sharing"",""งบพรบ!FJ17"")"),43820)</f>
        <v>43820</v>
      </c>
      <c r="O361" s="47">
        <f ca="1">IF(L361&gt;0,N361*100/L361,0)</f>
        <v>9.8149890247726557</v>
      </c>
      <c r="P361" s="47">
        <f ca="1">IF(M361&gt;0,N361*100/M361,0)</f>
        <v>11.457407310568426</v>
      </c>
    </row>
    <row r="362" spans="1:16" ht="18.75" x14ac:dyDescent="0.25">
      <c r="A362" s="136"/>
      <c r="B362" s="41"/>
      <c r="C362" s="41"/>
      <c r="D362" s="42" t="s">
        <v>21</v>
      </c>
      <c r="E362" s="41"/>
      <c r="F362" s="41"/>
      <c r="G362" s="43"/>
      <c r="H362" s="147" t="s">
        <v>12</v>
      </c>
      <c r="I362" s="144"/>
      <c r="J362" s="144"/>
      <c r="K362" s="145"/>
      <c r="L362" s="47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</row>
    <row r="363" spans="1:16" ht="18.75" hidden="1" x14ac:dyDescent="0.25">
      <c r="A363" s="136"/>
      <c r="B363" s="41"/>
      <c r="C363" s="41"/>
      <c r="D363" s="41"/>
      <c r="E363" s="279" t="s">
        <v>18</v>
      </c>
      <c r="F363" s="41"/>
      <c r="G363" s="43"/>
      <c r="H363" s="146" t="s">
        <v>12</v>
      </c>
      <c r="I363" s="144"/>
      <c r="J363" s="144"/>
      <c r="K363" s="145"/>
      <c r="L363" s="50">
        <v>0</v>
      </c>
      <c r="M363" s="50">
        <v>0</v>
      </c>
      <c r="N363" s="50">
        <v>0</v>
      </c>
      <c r="O363" s="50">
        <f>IF(L363&gt;0,N363*100/L363,0)</f>
        <v>0</v>
      </c>
      <c r="P363" s="50">
        <f>IF(M363&gt;0,N363*100/M363,0)</f>
        <v>0</v>
      </c>
    </row>
    <row r="364" spans="1:16" ht="18.75" x14ac:dyDescent="0.25">
      <c r="A364" s="136"/>
      <c r="B364" s="41"/>
      <c r="C364" s="41"/>
      <c r="D364" s="41"/>
      <c r="E364" s="254" t="s">
        <v>19</v>
      </c>
      <c r="F364" s="41"/>
      <c r="G364" s="43"/>
      <c r="H364" s="147" t="s">
        <v>12</v>
      </c>
      <c r="I364" s="144"/>
      <c r="J364" s="144"/>
      <c r="K364" s="145"/>
      <c r="L364" s="47">
        <f ca="1">IFERROR(__xludf.DUMMYFUNCTION("IMPORTRANGE(""https://docs.google.com/spreadsheets/d/1-uDff_7J0KD5mKrp0Vvzr7lt3OU09vwQwhkpOPPYv2Y/edit?usp=sharing"",""งบพรบ!FF17"")"),0)</f>
        <v>0</v>
      </c>
      <c r="M364" s="47">
        <f ca="1">IFERROR(__xludf.DUMMYFUNCTION("IMPORTRANGE(""https://docs.google.com/spreadsheets/d/1-uDff_7J0KD5mKrp0Vvzr7lt3OU09vwQwhkpOPPYv2Y/edit?usp=sharing"",""งบพรบ!FI17"")"),0)</f>
        <v>0</v>
      </c>
      <c r="N364" s="47">
        <f ca="1">IFERROR(__xludf.DUMMYFUNCTION("IMPORTRANGE(""https://docs.google.com/spreadsheets/d/1-uDff_7J0KD5mKrp0Vvzr7lt3OU09vwQwhkpOPPYv2Y/edit?usp=sharing"",""งบพรบ!FK17"")"),0)</f>
        <v>0</v>
      </c>
      <c r="O364" s="47">
        <f ca="1">IF(L364&gt;0,N364*100/L364,0)</f>
        <v>0</v>
      </c>
      <c r="P364" s="47">
        <f ca="1">IF(M364&gt;0,N364*100/M364,0)</f>
        <v>0</v>
      </c>
    </row>
    <row r="365" spans="1:16" ht="19.5" x14ac:dyDescent="0.3">
      <c r="A365" s="233"/>
      <c r="B365" s="234"/>
      <c r="C365" s="236"/>
      <c r="D365" s="396" t="s">
        <v>143</v>
      </c>
      <c r="E365" s="236"/>
      <c r="F365" s="236"/>
      <c r="G365" s="237"/>
      <c r="H365" s="245" t="s">
        <v>33</v>
      </c>
      <c r="I365" s="239">
        <f ca="1">I371</f>
        <v>225</v>
      </c>
      <c r="J365" s="239">
        <f ca="1">J371</f>
        <v>0</v>
      </c>
      <c r="K365" s="240">
        <f ca="1">IF(I365&gt;0,J365*100/I365,0)</f>
        <v>0</v>
      </c>
      <c r="L365" s="241"/>
      <c r="M365" s="241"/>
      <c r="N365" s="241"/>
      <c r="O365" s="241"/>
      <c r="P365" s="241"/>
    </row>
    <row r="366" spans="1:16" ht="19.5" x14ac:dyDescent="0.3">
      <c r="A366" s="148"/>
      <c r="B366" s="149"/>
      <c r="C366" s="197" t="s">
        <v>16</v>
      </c>
      <c r="D366" s="395" t="s">
        <v>36</v>
      </c>
      <c r="E366" s="151"/>
      <c r="F366" s="151"/>
      <c r="G366" s="152"/>
      <c r="H366" s="153"/>
      <c r="I366" s="45"/>
      <c r="J366" s="45"/>
      <c r="K366" s="46"/>
      <c r="L366" s="145"/>
      <c r="M366" s="145"/>
      <c r="N366" s="145"/>
      <c r="O366" s="145"/>
      <c r="P366" s="145"/>
    </row>
    <row r="367" spans="1:16" ht="18.75" x14ac:dyDescent="0.25">
      <c r="A367" s="148"/>
      <c r="B367" s="155"/>
      <c r="C367" s="149"/>
      <c r="D367" s="155"/>
      <c r="E367" s="154" t="s">
        <v>144</v>
      </c>
      <c r="F367" s="155"/>
      <c r="G367" s="153"/>
      <c r="H367" s="164" t="s">
        <v>33</v>
      </c>
      <c r="I367" s="169">
        <v>0</v>
      </c>
      <c r="J367" s="169">
        <f ca="1">IFERROR(__xludf.DUMMYFUNCTION("IMPORTRANGE(""https://docs.google.com/spreadsheets/d/1tdoBKaGub7dwA3U6UFTqxio9LNnvDCQjHKmttSEBsFQ/edit?usp=sharing"",""จัดที่ดิน!AB17"")"),0)</f>
        <v>0</v>
      </c>
      <c r="K367" s="47">
        <f>IF(I367&gt;0,J367*100/I367,0)</f>
        <v>0</v>
      </c>
      <c r="L367" s="145"/>
      <c r="M367" s="145"/>
      <c r="N367" s="145"/>
      <c r="O367" s="145"/>
      <c r="P367" s="145"/>
    </row>
    <row r="368" spans="1:16" ht="18.75" x14ac:dyDescent="0.25">
      <c r="A368" s="148"/>
      <c r="B368" s="155"/>
      <c r="C368" s="149"/>
      <c r="D368" s="155"/>
      <c r="E368" s="155"/>
      <c r="F368" s="155"/>
      <c r="G368" s="153"/>
      <c r="H368" s="164" t="s">
        <v>44</v>
      </c>
      <c r="I368" s="169">
        <f ca="1">IFERROR(__xludf.DUMMYFUNCTION("IMPORTRANGE(""https://docs.google.com/spreadsheets/d/1eHaY18a8A9IcSdp1K8H6x8fbOy06t2VsZHhMHf-1x7Y/edit?usp=sharing"",""แผน!EW17"")"),1890)</f>
        <v>1890</v>
      </c>
      <c r="J368" s="351">
        <f ca="1">IFERROR(__xludf.DUMMYFUNCTION("IMPORTRANGE(""https://docs.google.com/spreadsheets/d/1tdoBKaGub7dwA3U6UFTqxio9LNnvDCQjHKmttSEBsFQ/edit?usp=sharing"",""จัดที่ดิน!AC17"")"),0)</f>
        <v>0</v>
      </c>
      <c r="K368" s="47">
        <f ca="1">IF(I368&gt;0,J368*100/I368,0)</f>
        <v>0</v>
      </c>
      <c r="L368" s="145"/>
      <c r="M368" s="145"/>
      <c r="N368" s="145"/>
      <c r="O368" s="145"/>
      <c r="P368" s="145"/>
    </row>
    <row r="369" spans="1:16" ht="18.75" x14ac:dyDescent="0.25">
      <c r="A369" s="148"/>
      <c r="B369" s="155"/>
      <c r="C369" s="149"/>
      <c r="D369" s="155"/>
      <c r="E369" s="154" t="s">
        <v>145</v>
      </c>
      <c r="F369" s="155"/>
      <c r="G369" s="153"/>
      <c r="H369" s="251" t="s">
        <v>33</v>
      </c>
      <c r="I369" s="169">
        <f ca="1">IFERROR(__xludf.DUMMYFUNCTION("IMPORTRANGE(""https://docs.google.com/spreadsheets/d/1eHaY18a8A9IcSdp1K8H6x8fbOy06t2VsZHhMHf-1x7Y/edit?usp=sharing"",""แผน!EX17"")"),333)</f>
        <v>333</v>
      </c>
      <c r="J369" s="169">
        <f ca="1">IFERROR(__xludf.DUMMYFUNCTION("IMPORTRANGE(""https://docs.google.com/spreadsheets/d/1tdoBKaGub7dwA3U6UFTqxio9LNnvDCQjHKmttSEBsFQ/edit?usp=sharing"",""จัดที่ดิน!AD17"")"),0)</f>
        <v>0</v>
      </c>
      <c r="K369" s="47">
        <f ca="1">IF(I369&gt;0,J369*100/I369,0)</f>
        <v>0</v>
      </c>
      <c r="L369" s="145"/>
      <c r="M369" s="145"/>
      <c r="N369" s="145"/>
      <c r="O369" s="145"/>
      <c r="P369" s="145"/>
    </row>
    <row r="370" spans="1:16" ht="18.75" x14ac:dyDescent="0.25">
      <c r="A370" s="148"/>
      <c r="B370" s="155"/>
      <c r="C370" s="149"/>
      <c r="D370" s="155"/>
      <c r="E370" s="155"/>
      <c r="F370" s="155"/>
      <c r="G370" s="153"/>
      <c r="H370" s="251" t="s">
        <v>44</v>
      </c>
      <c r="I370" s="169">
        <v>0</v>
      </c>
      <c r="J370" s="351">
        <f ca="1">IFERROR(__xludf.DUMMYFUNCTION("IMPORTRANGE(""https://docs.google.com/spreadsheets/d/1tdoBKaGub7dwA3U6UFTqxio9LNnvDCQjHKmttSEBsFQ/edit?usp=sharing"",""จัดที่ดิน!AE17"")"),0)</f>
        <v>0</v>
      </c>
      <c r="K370" s="47">
        <f>IF(I370&gt;0,J370*100/I370,0)</f>
        <v>0</v>
      </c>
      <c r="L370" s="145"/>
      <c r="M370" s="145"/>
      <c r="N370" s="145"/>
      <c r="O370" s="145"/>
      <c r="P370" s="145"/>
    </row>
    <row r="371" spans="1:16" ht="18.75" x14ac:dyDescent="0.25">
      <c r="A371" s="148"/>
      <c r="B371" s="155"/>
      <c r="C371" s="149"/>
      <c r="D371" s="155"/>
      <c r="E371" s="154" t="s">
        <v>146</v>
      </c>
      <c r="F371" s="155"/>
      <c r="G371" s="153"/>
      <c r="H371" s="251" t="s">
        <v>33</v>
      </c>
      <c r="I371" s="169">
        <f ca="1">IFERROR(__xludf.DUMMYFUNCTION("IMPORTRANGE(""https://docs.google.com/spreadsheets/d/1eHaY18a8A9IcSdp1K8H6x8fbOy06t2VsZHhMHf-1x7Y/edit?usp=sharing"",""แผน!EY17"")"),225)</f>
        <v>225</v>
      </c>
      <c r="J371" s="169">
        <f ca="1">IFERROR(__xludf.DUMMYFUNCTION("IMPORTRANGE(""https://docs.google.com/spreadsheets/d/1tdoBKaGub7dwA3U6UFTqxio9LNnvDCQjHKmttSEBsFQ/edit?usp=sharing"",""จัดที่ดิน!AF17"")"),0)</f>
        <v>0</v>
      </c>
      <c r="K371" s="47">
        <f ca="1">IF(I371&gt;0,J371*100/I371,0)</f>
        <v>0</v>
      </c>
      <c r="L371" s="145"/>
      <c r="M371" s="145"/>
      <c r="N371" s="145"/>
      <c r="O371" s="145"/>
      <c r="P371" s="145"/>
    </row>
    <row r="372" spans="1:16" ht="18.75" x14ac:dyDescent="0.25">
      <c r="A372" s="148"/>
      <c r="B372" s="155"/>
      <c r="C372" s="149"/>
      <c r="D372" s="155"/>
      <c r="E372" s="155"/>
      <c r="F372" s="155"/>
      <c r="G372" s="153"/>
      <c r="H372" s="251" t="s">
        <v>44</v>
      </c>
      <c r="I372" s="169">
        <v>0</v>
      </c>
      <c r="J372" s="351">
        <f ca="1">IFERROR(__xludf.DUMMYFUNCTION("IMPORTRANGE(""https://docs.google.com/spreadsheets/d/1tdoBKaGub7dwA3U6UFTqxio9LNnvDCQjHKmttSEBsFQ/edit?usp=sharing"",""จัดที่ดิน!AG17"")"),0)</f>
        <v>0</v>
      </c>
      <c r="K372" s="47">
        <f>IF(I372&gt;0,J372*100/I372,0)</f>
        <v>0</v>
      </c>
      <c r="L372" s="145"/>
      <c r="M372" s="145"/>
      <c r="N372" s="145"/>
      <c r="O372" s="145"/>
      <c r="P372" s="145"/>
    </row>
    <row r="373" spans="1:16" ht="16.5" x14ac:dyDescent="0.25">
      <c r="A373" s="2"/>
      <c r="B373" s="1"/>
      <c r="C373" s="2"/>
      <c r="D373" s="352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4"/>
      <c r="H373" s="54"/>
      <c r="I373" s="56"/>
      <c r="J373" s="56"/>
      <c r="K373" s="57"/>
      <c r="L373" s="57"/>
      <c r="M373" s="57"/>
      <c r="N373" s="57"/>
      <c r="O373" s="57"/>
      <c r="P373" s="57"/>
    </row>
    <row r="374" spans="1:16" ht="19.5" hidden="1" x14ac:dyDescent="0.3">
      <c r="A374" s="353" t="s">
        <v>147</v>
      </c>
      <c r="B374" s="354"/>
      <c r="C374" s="354"/>
      <c r="D374" s="354"/>
      <c r="E374" s="355"/>
      <c r="F374" s="355"/>
      <c r="G374" s="355"/>
      <c r="H374" s="355"/>
      <c r="I374" s="356"/>
      <c r="J374" s="356"/>
      <c r="K374" s="357"/>
      <c r="L374" s="357"/>
      <c r="M374" s="357"/>
      <c r="N374" s="357"/>
      <c r="O374" s="357"/>
      <c r="P374" s="358"/>
    </row>
    <row r="375" spans="1:16" ht="19.5" hidden="1" x14ac:dyDescent="0.3">
      <c r="A375" s="359" t="s">
        <v>148</v>
      </c>
      <c r="B375" s="360"/>
      <c r="C375" s="360"/>
      <c r="D375" s="361"/>
      <c r="E375" s="360"/>
      <c r="F375" s="360"/>
      <c r="G375" s="360"/>
      <c r="H375" s="362"/>
      <c r="I375" s="363"/>
      <c r="J375" s="363"/>
      <c r="K375" s="364"/>
      <c r="L375" s="364"/>
      <c r="M375" s="364"/>
      <c r="N375" s="364"/>
      <c r="O375" s="364"/>
      <c r="P375" s="364"/>
    </row>
    <row r="376" spans="1:16" ht="19.5" hidden="1" x14ac:dyDescent="0.3">
      <c r="A376" s="365"/>
      <c r="B376" s="366" t="s">
        <v>149</v>
      </c>
      <c r="C376" s="367"/>
      <c r="D376" s="368"/>
      <c r="E376" s="368"/>
      <c r="F376" s="368"/>
      <c r="G376" s="369"/>
      <c r="H376" s="370" t="s">
        <v>54</v>
      </c>
      <c r="I376" s="371">
        <f>I388</f>
        <v>0</v>
      </c>
      <c r="J376" s="371">
        <f>J388</f>
        <v>0</v>
      </c>
      <c r="K376" s="372">
        <f>IF(I376&gt;0,J376*100/I376,0)</f>
        <v>0</v>
      </c>
      <c r="L376" s="373"/>
      <c r="M376" s="373"/>
      <c r="N376" s="373"/>
      <c r="O376" s="373"/>
      <c r="P376" s="373"/>
    </row>
    <row r="377" spans="1:16" ht="19.5" hidden="1" x14ac:dyDescent="0.3">
      <c r="A377" s="136"/>
      <c r="B377" s="41"/>
      <c r="C377" s="260" t="s">
        <v>16</v>
      </c>
      <c r="D377" s="261" t="s">
        <v>17</v>
      </c>
      <c r="E377" s="41"/>
      <c r="F377" s="41"/>
      <c r="G377" s="43"/>
      <c r="H377" s="277" t="s">
        <v>12</v>
      </c>
      <c r="I377" s="45"/>
      <c r="J377" s="45"/>
      <c r="K377" s="46"/>
      <c r="L377" s="263">
        <f ca="1">L378+L379</f>
        <v>0</v>
      </c>
      <c r="M377" s="263">
        <f ca="1">M378+M379</f>
        <v>0</v>
      </c>
      <c r="N377" s="263">
        <f ca="1">N378+N379</f>
        <v>0</v>
      </c>
      <c r="O377" s="263">
        <f ca="1">IF(L377&gt;0,N377*100/L377,0)</f>
        <v>0</v>
      </c>
      <c r="P377" s="263">
        <f ca="1">IF(M377&gt;0,N377*100/M377,0)</f>
        <v>0</v>
      </c>
    </row>
    <row r="378" spans="1:16" ht="18.75" hidden="1" x14ac:dyDescent="0.25">
      <c r="A378" s="136"/>
      <c r="B378" s="41"/>
      <c r="C378" s="41"/>
      <c r="D378" s="41"/>
      <c r="E378" s="279" t="s">
        <v>18</v>
      </c>
      <c r="F378" s="41"/>
      <c r="G378" s="43"/>
      <c r="H378" s="141" t="s">
        <v>12</v>
      </c>
      <c r="I378" s="45"/>
      <c r="J378" s="45"/>
      <c r="K378" s="46"/>
      <c r="L378" s="50">
        <f>L381+L384</f>
        <v>0</v>
      </c>
      <c r="M378" s="50">
        <f>M381+M384</f>
        <v>0</v>
      </c>
      <c r="N378" s="50">
        <f>N381+N384</f>
        <v>0</v>
      </c>
      <c r="O378" s="50">
        <f>IF(L378&gt;0,N378*100/L378,0)</f>
        <v>0</v>
      </c>
      <c r="P378" s="50">
        <f>IF(M378&gt;0,N378*100/M378,0)</f>
        <v>0</v>
      </c>
    </row>
    <row r="379" spans="1:16" ht="18.75" hidden="1" x14ac:dyDescent="0.25">
      <c r="A379" s="136"/>
      <c r="B379" s="41"/>
      <c r="C379" s="41"/>
      <c r="D379" s="41"/>
      <c r="E379" s="279" t="s">
        <v>19</v>
      </c>
      <c r="F379" s="41"/>
      <c r="G379" s="43"/>
      <c r="H379" s="141" t="s">
        <v>12</v>
      </c>
      <c r="I379" s="45"/>
      <c r="J379" s="45"/>
      <c r="K379" s="46"/>
      <c r="L379" s="50">
        <f ca="1">L382+L385</f>
        <v>0</v>
      </c>
      <c r="M379" s="50">
        <f ca="1">M382+M385</f>
        <v>0</v>
      </c>
      <c r="N379" s="50">
        <f ca="1">N382+N385</f>
        <v>0</v>
      </c>
      <c r="O379" s="50">
        <f ca="1">IF(L379&gt;0,N379*100/L379,0)</f>
        <v>0</v>
      </c>
      <c r="P379" s="50">
        <f ca="1">IF(M379&gt;0,N379*100/M379,0)</f>
        <v>0</v>
      </c>
    </row>
    <row r="380" spans="1:16" ht="18.75" hidden="1" x14ac:dyDescent="0.25">
      <c r="A380" s="136"/>
      <c r="B380" s="41"/>
      <c r="C380" s="41"/>
      <c r="D380" s="278" t="s">
        <v>20</v>
      </c>
      <c r="E380" s="41"/>
      <c r="F380" s="41"/>
      <c r="G380" s="43"/>
      <c r="H380" s="146" t="s">
        <v>12</v>
      </c>
      <c r="I380" s="144"/>
      <c r="J380" s="144"/>
      <c r="K380" s="145"/>
      <c r="L380" s="50">
        <f ca="1">L381+L382</f>
        <v>0</v>
      </c>
      <c r="M380" s="50">
        <f ca="1">M381+M382</f>
        <v>0</v>
      </c>
      <c r="N380" s="50">
        <f ca="1">N381+N382</f>
        <v>0</v>
      </c>
      <c r="O380" s="50">
        <f ca="1">IF(L380&gt;0,N380*100/L380,0)</f>
        <v>0</v>
      </c>
      <c r="P380" s="50">
        <f ca="1">IF(M380&gt;0,N380*100/M380,0)</f>
        <v>0</v>
      </c>
    </row>
    <row r="381" spans="1:16" ht="18.75" hidden="1" x14ac:dyDescent="0.25">
      <c r="A381" s="136"/>
      <c r="B381" s="41"/>
      <c r="C381" s="41"/>
      <c r="D381" s="41"/>
      <c r="E381" s="279" t="s">
        <v>34</v>
      </c>
      <c r="F381" s="41"/>
      <c r="G381" s="43"/>
      <c r="H381" s="146" t="s">
        <v>12</v>
      </c>
      <c r="I381" s="144"/>
      <c r="J381" s="144"/>
      <c r="K381" s="145"/>
      <c r="L381" s="50">
        <v>0</v>
      </c>
      <c r="M381" s="50">
        <v>0</v>
      </c>
      <c r="N381" s="50">
        <v>0</v>
      </c>
      <c r="O381" s="50">
        <f>IF(L381&gt;0,N381*100/L381,0)</f>
        <v>0</v>
      </c>
      <c r="P381" s="50">
        <f>IF(M381&gt;0,N381*100/M381,0)</f>
        <v>0</v>
      </c>
    </row>
    <row r="382" spans="1:16" ht="18.75" hidden="1" x14ac:dyDescent="0.25">
      <c r="A382" s="136"/>
      <c r="B382" s="41"/>
      <c r="C382" s="41"/>
      <c r="D382" s="41"/>
      <c r="E382" s="279" t="s">
        <v>35</v>
      </c>
      <c r="F382" s="41"/>
      <c r="G382" s="43"/>
      <c r="H382" s="146" t="s">
        <v>12</v>
      </c>
      <c r="I382" s="144"/>
      <c r="J382" s="144"/>
      <c r="K382" s="145"/>
      <c r="L382" s="50">
        <f ca="1">IFERROR(__xludf.DUMMYFUNCTION("IMPORTRANGE(""https://docs.google.com/spreadsheets/d/1-uDff_7J0KD5mKrp0Vvzr7lt3OU09vwQwhkpOPPYv2Y/edit?usp=sharing"",""งบพรบ!FM17"")"),0)</f>
        <v>0</v>
      </c>
      <c r="M382" s="50">
        <f ca="1">IFERROR(__xludf.DUMMYFUNCTION("IMPORTRANGE(""https://docs.google.com/spreadsheets/d/1-uDff_7J0KD5mKrp0Vvzr7lt3OU09vwQwhkpOPPYv2Y/edit?usp=sharing"",""งบพรบ!FR17"")"),0)</f>
        <v>0</v>
      </c>
      <c r="N382" s="50">
        <f ca="1">IFERROR(__xludf.DUMMYFUNCTION("IMPORTRANGE(""https://docs.google.com/spreadsheets/d/1-uDff_7J0KD5mKrp0Vvzr7lt3OU09vwQwhkpOPPYv2Y/edit?usp=sharing"",""งบพรบ!FT17"")"),0)</f>
        <v>0</v>
      </c>
      <c r="O382" s="50">
        <f ca="1">IF(L382&gt;0,N382*100/L382,0)</f>
        <v>0</v>
      </c>
      <c r="P382" s="50">
        <f ca="1">IF(M382&gt;0,N382*100/M382,0)</f>
        <v>0</v>
      </c>
    </row>
    <row r="383" spans="1:16" ht="18.75" hidden="1" x14ac:dyDescent="0.25">
      <c r="A383" s="136"/>
      <c r="B383" s="41"/>
      <c r="C383" s="41"/>
      <c r="D383" s="278" t="s">
        <v>21</v>
      </c>
      <c r="E383" s="41"/>
      <c r="F383" s="41"/>
      <c r="G383" s="43"/>
      <c r="H383" s="199" t="s">
        <v>12</v>
      </c>
      <c r="I383" s="144"/>
      <c r="J383" s="144"/>
      <c r="K383" s="145"/>
      <c r="L383" s="50">
        <f ca="1">L384+L385</f>
        <v>0</v>
      </c>
      <c r="M383" s="50">
        <f ca="1">M384+M385</f>
        <v>0</v>
      </c>
      <c r="N383" s="50">
        <f ca="1">N384+N385</f>
        <v>0</v>
      </c>
      <c r="O383" s="50">
        <f ca="1">IF(L383&gt;0,N383*100/L383,0)</f>
        <v>0</v>
      </c>
      <c r="P383" s="50">
        <f ca="1">IF(M383&gt;0,N383*100/M383,0)</f>
        <v>0</v>
      </c>
    </row>
    <row r="384" spans="1:16" ht="18.75" hidden="1" x14ac:dyDescent="0.25">
      <c r="A384" s="136"/>
      <c r="B384" s="41"/>
      <c r="C384" s="41"/>
      <c r="D384" s="41"/>
      <c r="E384" s="279" t="s">
        <v>18</v>
      </c>
      <c r="F384" s="41"/>
      <c r="G384" s="43"/>
      <c r="H384" s="146" t="s">
        <v>12</v>
      </c>
      <c r="I384" s="144"/>
      <c r="J384" s="144"/>
      <c r="K384" s="145"/>
      <c r="L384" s="50">
        <v>0</v>
      </c>
      <c r="M384" s="50">
        <v>0</v>
      </c>
      <c r="N384" s="50">
        <v>0</v>
      </c>
      <c r="O384" s="50">
        <f>IF(L384&gt;0,N384*100/L384,0)</f>
        <v>0</v>
      </c>
      <c r="P384" s="50">
        <f>IF(M384&gt;0,N384*100/M384,0)</f>
        <v>0</v>
      </c>
    </row>
    <row r="385" spans="1:16" ht="18.75" hidden="1" x14ac:dyDescent="0.25">
      <c r="A385" s="136"/>
      <c r="B385" s="41"/>
      <c r="C385" s="41"/>
      <c r="D385" s="41"/>
      <c r="E385" s="279" t="s">
        <v>19</v>
      </c>
      <c r="F385" s="41"/>
      <c r="G385" s="43"/>
      <c r="H385" s="199" t="s">
        <v>12</v>
      </c>
      <c r="I385" s="144"/>
      <c r="J385" s="144"/>
      <c r="K385" s="145"/>
      <c r="L385" s="50">
        <f ca="1">IFERROR(__xludf.DUMMYFUNCTION("IMPORTRANGE(""https://docs.google.com/spreadsheets/d/1-uDff_7J0KD5mKrp0Vvzr7lt3OU09vwQwhkpOPPYv2Y/edit?usp=sharing"",""งบพรบ!FP17"")"),0)</f>
        <v>0</v>
      </c>
      <c r="M385" s="50">
        <f ca="1">IFERROR(__xludf.DUMMYFUNCTION("IMPORTRANGE(""https://docs.google.com/spreadsheets/d/1-uDff_7J0KD5mKrp0Vvzr7lt3OU09vwQwhkpOPPYv2Y/edit?usp=sharing"",""งบพรบ!FS17"")"),0)</f>
        <v>0</v>
      </c>
      <c r="N385" s="50">
        <f ca="1">IFERROR(__xludf.DUMMYFUNCTION("IMPORTRANGE(""https://docs.google.com/spreadsheets/d/1-uDff_7J0KD5mKrp0Vvzr7lt3OU09vwQwhkpOPPYv2Y/edit?usp=sharing"",""งบพรบ!FU17"")"),0)</f>
        <v>0</v>
      </c>
      <c r="O385" s="50">
        <f ca="1">IF(L385&gt;0,N385*100/L385,0)</f>
        <v>0</v>
      </c>
      <c r="P385" s="50">
        <f ca="1">IF(M385&gt;0,N385*100/M385,0)</f>
        <v>0</v>
      </c>
    </row>
    <row r="386" spans="1:16" ht="19.5" hidden="1" x14ac:dyDescent="0.3">
      <c r="A386" s="148"/>
      <c r="B386" s="149"/>
      <c r="C386" s="260" t="s">
        <v>16</v>
      </c>
      <c r="D386" s="394" t="s">
        <v>36</v>
      </c>
      <c r="E386" s="151"/>
      <c r="F386" s="151"/>
      <c r="G386" s="152"/>
      <c r="H386" s="153"/>
      <c r="I386" s="144"/>
      <c r="J386" s="45"/>
      <c r="K386" s="46"/>
      <c r="L386" s="46"/>
      <c r="M386" s="46"/>
      <c r="N386" s="46"/>
      <c r="O386" s="145"/>
      <c r="P386" s="145"/>
    </row>
    <row r="387" spans="1:16" ht="18.75" hidden="1" x14ac:dyDescent="0.25">
      <c r="A387" s="227"/>
      <c r="B387" s="41"/>
      <c r="C387" s="228"/>
      <c r="D387" s="267" t="s">
        <v>150</v>
      </c>
      <c r="E387" s="149"/>
      <c r="F387" s="41"/>
      <c r="G387" s="43"/>
      <c r="H387" s="232" t="s">
        <v>9</v>
      </c>
      <c r="I387" s="200">
        <v>0</v>
      </c>
      <c r="J387" s="201">
        <v>0</v>
      </c>
      <c r="K387" s="50">
        <f>IF(I387&gt;0,J387*100/I387,0)</f>
        <v>0</v>
      </c>
      <c r="L387" s="46"/>
      <c r="M387" s="46"/>
      <c r="N387" s="46"/>
      <c r="O387" s="46"/>
      <c r="P387" s="46"/>
    </row>
    <row r="388" spans="1:16" ht="18.75" hidden="1" x14ac:dyDescent="0.25">
      <c r="A388" s="374"/>
      <c r="B388" s="1"/>
      <c r="C388" s="2"/>
      <c r="D388" s="375" t="s">
        <v>151</v>
      </c>
      <c r="E388" s="281"/>
      <c r="F388" s="1"/>
      <c r="G388" s="54"/>
      <c r="H388" s="376" t="s">
        <v>54</v>
      </c>
      <c r="I388" s="205">
        <v>0</v>
      </c>
      <c r="J388" s="206">
        <v>0</v>
      </c>
      <c r="K388" s="207">
        <f>IF(I388&gt;0,J388*100/I388,0)</f>
        <v>0</v>
      </c>
      <c r="L388" s="57"/>
      <c r="M388" s="57"/>
      <c r="N388" s="57"/>
      <c r="O388" s="57"/>
      <c r="P388" s="57"/>
    </row>
    <row r="389" spans="1:16" ht="12.75" x14ac:dyDescent="0.2">
      <c r="A389" s="168"/>
      <c r="B389" s="168"/>
      <c r="C389" s="168"/>
      <c r="D389" s="168"/>
      <c r="E389" s="168"/>
      <c r="F389" s="168"/>
      <c r="G389" s="168"/>
      <c r="H389" s="168"/>
      <c r="I389" s="168"/>
      <c r="J389" s="168"/>
      <c r="K389" s="168"/>
      <c r="L389" s="168"/>
      <c r="M389" s="168"/>
      <c r="N389" s="168"/>
      <c r="O389" s="168"/>
      <c r="P389" s="168"/>
    </row>
    <row r="390" spans="1:16" ht="16.5" x14ac:dyDescent="0.25">
      <c r="A390" s="377" t="s">
        <v>152</v>
      </c>
      <c r="B390" s="168"/>
      <c r="C390" s="168"/>
      <c r="D390" s="168"/>
      <c r="E390" s="168"/>
      <c r="F390" s="168"/>
      <c r="G390" s="168"/>
      <c r="H390" s="168"/>
      <c r="I390" s="168"/>
      <c r="J390" s="168"/>
      <c r="K390" s="168"/>
      <c r="L390" s="168"/>
      <c r="M390" s="168"/>
      <c r="N390" s="168"/>
      <c r="O390" s="168"/>
      <c r="P390" s="168"/>
    </row>
    <row r="391" spans="1:16" ht="16.5" x14ac:dyDescent="0.25">
      <c r="A391" s="377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8"/>
      <c r="C391" s="168"/>
      <c r="D391" s="168"/>
      <c r="E391" s="168"/>
      <c r="F391" s="168"/>
      <c r="G391" s="168"/>
      <c r="H391" s="168"/>
      <c r="I391" s="168"/>
      <c r="J391" s="168"/>
      <c r="K391" s="168"/>
      <c r="L391" s="168"/>
      <c r="M391" s="168"/>
      <c r="N391" s="168"/>
      <c r="O391" s="168"/>
      <c r="P391" s="16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2" orientation="portrait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B7889-D77D-4C18-B0A8-21730CFDB452}">
  <sheetPr>
    <outlinePr summaryBelow="0" summaryRight="0"/>
  </sheetPr>
  <dimension ref="A1:P391"/>
  <sheetViews>
    <sheetView view="pageBreakPreview" zoomScale="60" zoomScaleNormal="68" workbookViewId="0">
      <pane xSplit="8" ySplit="6" topLeftCell="I134" activePane="bottomRight" state="frozen"/>
      <selection activeCell="P44" sqref="P44"/>
      <selection pane="topRight" activeCell="P44" sqref="P44"/>
      <selection pane="bottomLeft" activeCell="P44" sqref="P44"/>
      <selection pane="bottomRight" activeCell="P44" sqref="P4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3" width="21.5703125" bestFit="1" customWidth="1"/>
    <col min="14" max="14" width="19" bestFit="1" customWidth="1"/>
    <col min="15" max="15" width="17.5703125" customWidth="1"/>
    <col min="16" max="16" width="22.42578125" bestFit="1" customWidth="1"/>
  </cols>
  <sheetData>
    <row r="1" spans="1:16" ht="19.5" x14ac:dyDescent="0.3">
      <c r="A1" s="386" t="s">
        <v>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</row>
    <row r="2" spans="1:16" ht="19.5" x14ac:dyDescent="0.3">
      <c r="A2" s="386" t="s">
        <v>158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</row>
    <row r="3" spans="1:16" ht="19.5" x14ac:dyDescent="0.3">
      <c r="A3" s="386" t="s">
        <v>175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388" t="s">
        <v>2</v>
      </c>
      <c r="B5" s="387"/>
      <c r="C5" s="387"/>
      <c r="D5" s="387"/>
      <c r="E5" s="387"/>
      <c r="F5" s="387"/>
      <c r="G5" s="389"/>
      <c r="H5" s="4" t="s">
        <v>3</v>
      </c>
      <c r="I5" s="391" t="s">
        <v>4</v>
      </c>
      <c r="J5" s="379"/>
      <c r="K5" s="380"/>
      <c r="L5" s="392" t="s">
        <v>5</v>
      </c>
      <c r="M5" s="380"/>
      <c r="N5" s="393" t="s">
        <v>6</v>
      </c>
      <c r="O5" s="379"/>
      <c r="P5" s="380"/>
    </row>
    <row r="6" spans="1:16" ht="19.5" x14ac:dyDescent="0.3">
      <c r="A6" s="390"/>
      <c r="B6" s="379"/>
      <c r="C6" s="379"/>
      <c r="D6" s="379"/>
      <c r="E6" s="379"/>
      <c r="F6" s="379"/>
      <c r="G6" s="380"/>
      <c r="H6" s="5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466" t="s">
        <v>14</v>
      </c>
    </row>
    <row r="7" spans="1:16" ht="12.75" hidden="1" x14ac:dyDescent="0.2">
      <c r="A7" s="381"/>
      <c r="B7" s="379"/>
      <c r="C7" s="379"/>
      <c r="D7" s="379"/>
      <c r="E7" s="379"/>
      <c r="F7" s="379"/>
      <c r="G7" s="380"/>
      <c r="H7" s="12"/>
      <c r="I7" s="13"/>
      <c r="J7" s="13"/>
      <c r="K7" s="14"/>
      <c r="L7" s="14"/>
      <c r="M7" s="14"/>
      <c r="N7" s="14"/>
      <c r="O7" s="14"/>
      <c r="P7" s="14"/>
    </row>
    <row r="8" spans="1:16" ht="12.75" hidden="1" x14ac:dyDescent="0.2">
      <c r="A8" s="15"/>
      <c r="B8" s="16"/>
      <c r="C8" s="16"/>
      <c r="D8" s="16"/>
      <c r="E8" s="16"/>
      <c r="F8" s="16"/>
      <c r="G8" s="17"/>
      <c r="H8" s="17"/>
      <c r="I8" s="18"/>
      <c r="J8" s="18"/>
      <c r="K8" s="19"/>
      <c r="L8" s="19"/>
      <c r="M8" s="19"/>
      <c r="N8" s="19"/>
      <c r="O8" s="19"/>
      <c r="P8" s="19"/>
    </row>
    <row r="9" spans="1:16" ht="12.75" hidden="1" x14ac:dyDescent="0.2">
      <c r="A9" s="15"/>
      <c r="B9" s="16"/>
      <c r="C9" s="16"/>
      <c r="D9" s="16"/>
      <c r="E9" s="16"/>
      <c r="F9" s="16"/>
      <c r="G9" s="17"/>
      <c r="H9" s="17"/>
      <c r="I9" s="18"/>
      <c r="J9" s="18"/>
      <c r="K9" s="19"/>
      <c r="L9" s="19"/>
      <c r="M9" s="19"/>
      <c r="N9" s="19"/>
      <c r="O9" s="19"/>
      <c r="P9" s="19"/>
    </row>
    <row r="10" spans="1:16" ht="12.75" hidden="1" x14ac:dyDescent="0.2">
      <c r="A10" s="15"/>
      <c r="B10" s="16"/>
      <c r="C10" s="16"/>
      <c r="D10" s="16"/>
      <c r="E10" s="16"/>
      <c r="F10" s="16"/>
      <c r="G10" s="17"/>
      <c r="H10" s="17"/>
      <c r="I10" s="18"/>
      <c r="J10" s="18"/>
      <c r="K10" s="19"/>
      <c r="L10" s="19"/>
      <c r="M10" s="19"/>
      <c r="N10" s="19"/>
      <c r="O10" s="19"/>
      <c r="P10" s="19"/>
    </row>
    <row r="11" spans="1:16" ht="12.75" hidden="1" x14ac:dyDescent="0.2">
      <c r="A11" s="15"/>
      <c r="B11" s="16"/>
      <c r="C11" s="16"/>
      <c r="D11" s="16"/>
      <c r="E11" s="16"/>
      <c r="F11" s="16"/>
      <c r="G11" s="17"/>
      <c r="H11" s="17"/>
      <c r="I11" s="18"/>
      <c r="J11" s="18"/>
      <c r="K11" s="19"/>
      <c r="L11" s="19"/>
      <c r="M11" s="19"/>
      <c r="N11" s="19"/>
      <c r="O11" s="19"/>
      <c r="P11" s="19"/>
    </row>
    <row r="12" spans="1:16" ht="12.75" hidden="1" x14ac:dyDescent="0.2">
      <c r="A12" s="15"/>
      <c r="B12" s="16"/>
      <c r="C12" s="16"/>
      <c r="D12" s="16"/>
      <c r="E12" s="16"/>
      <c r="F12" s="16"/>
      <c r="G12" s="17"/>
      <c r="H12" s="17"/>
      <c r="I12" s="18"/>
      <c r="J12" s="18"/>
      <c r="K12" s="19"/>
      <c r="L12" s="19"/>
      <c r="M12" s="19"/>
      <c r="N12" s="19"/>
      <c r="O12" s="19"/>
      <c r="P12" s="19"/>
    </row>
    <row r="13" spans="1:16" ht="12.75" hidden="1" x14ac:dyDescent="0.2">
      <c r="A13" s="15"/>
      <c r="B13" s="16"/>
      <c r="C13" s="16"/>
      <c r="D13" s="16"/>
      <c r="E13" s="16"/>
      <c r="F13" s="16"/>
      <c r="G13" s="17"/>
      <c r="H13" s="17"/>
      <c r="I13" s="18"/>
      <c r="J13" s="18"/>
      <c r="K13" s="19"/>
      <c r="L13" s="19"/>
      <c r="M13" s="19"/>
      <c r="N13" s="19"/>
      <c r="O13" s="19"/>
      <c r="P13" s="19"/>
    </row>
    <row r="14" spans="1:16" ht="12.75" hidden="1" x14ac:dyDescent="0.2">
      <c r="A14" s="15"/>
      <c r="B14" s="16"/>
      <c r="C14" s="16"/>
      <c r="D14" s="16"/>
      <c r="E14" s="16"/>
      <c r="F14" s="16"/>
      <c r="G14" s="17"/>
      <c r="H14" s="17"/>
      <c r="I14" s="18"/>
      <c r="J14" s="18"/>
      <c r="K14" s="19"/>
      <c r="L14" s="19"/>
      <c r="M14" s="19"/>
      <c r="N14" s="19"/>
      <c r="O14" s="19"/>
      <c r="P14" s="19"/>
    </row>
    <row r="15" spans="1:16" ht="12.75" hidden="1" x14ac:dyDescent="0.2">
      <c r="A15" s="15"/>
      <c r="B15" s="16"/>
      <c r="C15" s="16"/>
      <c r="D15" s="16"/>
      <c r="E15" s="16"/>
      <c r="F15" s="16"/>
      <c r="G15" s="17"/>
      <c r="H15" s="17"/>
      <c r="I15" s="18"/>
      <c r="J15" s="18"/>
      <c r="K15" s="19"/>
      <c r="L15" s="19"/>
      <c r="M15" s="19"/>
      <c r="N15" s="19"/>
      <c r="O15" s="19"/>
      <c r="P15" s="19"/>
    </row>
    <row r="16" spans="1:16" ht="12.75" hidden="1" x14ac:dyDescent="0.2">
      <c r="A16" s="20"/>
      <c r="B16" s="21"/>
      <c r="C16" s="21"/>
      <c r="D16" s="21"/>
      <c r="E16" s="21"/>
      <c r="F16" s="21"/>
      <c r="G16" s="12"/>
      <c r="H16" s="12"/>
      <c r="I16" s="13"/>
      <c r="J16" s="13"/>
      <c r="K16" s="14"/>
      <c r="L16" s="14"/>
      <c r="M16" s="14"/>
      <c r="N16" s="14"/>
      <c r="O16" s="14"/>
      <c r="P16" s="14"/>
    </row>
    <row r="17" spans="1:16" ht="19.5" x14ac:dyDescent="0.3">
      <c r="A17" s="378" t="s">
        <v>15</v>
      </c>
      <c r="B17" s="379"/>
      <c r="C17" s="379"/>
      <c r="D17" s="379"/>
      <c r="E17" s="379"/>
      <c r="F17" s="379"/>
      <c r="G17" s="380"/>
      <c r="H17" s="22"/>
      <c r="I17" s="23"/>
      <c r="J17" s="23"/>
      <c r="K17" s="24"/>
      <c r="L17" s="24"/>
      <c r="M17" s="24"/>
      <c r="N17" s="24"/>
      <c r="O17" s="24"/>
      <c r="P17" s="24"/>
    </row>
    <row r="18" spans="1:16" ht="19.5" x14ac:dyDescent="0.3">
      <c r="A18" s="25"/>
      <c r="B18" s="26"/>
      <c r="C18" s="132" t="s">
        <v>16</v>
      </c>
      <c r="D18" s="28" t="s">
        <v>17</v>
      </c>
      <c r="E18" s="26"/>
      <c r="F18" s="26"/>
      <c r="G18" s="29"/>
      <c r="H18" s="30" t="s">
        <v>12</v>
      </c>
      <c r="I18" s="31"/>
      <c r="J18" s="31"/>
      <c r="K18" s="32"/>
      <c r="L18" s="33">
        <f ca="1">L19+L20</f>
        <v>2237437</v>
      </c>
      <c r="M18" s="33">
        <f ca="1">M19+M20</f>
        <v>1881857</v>
      </c>
      <c r="N18" s="33">
        <f ca="1">N19+N20</f>
        <v>681465.76</v>
      </c>
      <c r="O18" s="33">
        <f ca="1">IF(L18&gt;0,N18*100/L18,0)</f>
        <v>30.457427851599842</v>
      </c>
      <c r="P18" s="33">
        <f ca="1">IF(M18&gt;0,N18*100/M18,0)</f>
        <v>36.212409338222827</v>
      </c>
    </row>
    <row r="19" spans="1:16" ht="18.75" hidden="1" x14ac:dyDescent="0.25">
      <c r="A19" s="25"/>
      <c r="B19" s="26"/>
      <c r="C19" s="26"/>
      <c r="D19" s="26"/>
      <c r="E19" s="34" t="s">
        <v>18</v>
      </c>
      <c r="F19" s="26"/>
      <c r="G19" s="29"/>
      <c r="H19" s="35" t="s">
        <v>12</v>
      </c>
      <c r="I19" s="31"/>
      <c r="J19" s="31"/>
      <c r="K19" s="32"/>
      <c r="L19" s="36">
        <f>L22+L25</f>
        <v>0</v>
      </c>
      <c r="M19" s="36">
        <f>M22+M25</f>
        <v>0</v>
      </c>
      <c r="N19" s="36">
        <f>N22+N25</f>
        <v>0</v>
      </c>
      <c r="O19" s="36">
        <f>IF(L19&gt;0,N19*100/L19,0)</f>
        <v>0</v>
      </c>
      <c r="P19" s="36">
        <f>IF(M19&gt;0,N19*100/M19,0)</f>
        <v>0</v>
      </c>
    </row>
    <row r="20" spans="1:16" ht="18.75" x14ac:dyDescent="0.25">
      <c r="A20" s="25"/>
      <c r="B20" s="26"/>
      <c r="C20" s="26"/>
      <c r="D20" s="26"/>
      <c r="E20" s="37" t="s">
        <v>19</v>
      </c>
      <c r="F20" s="26"/>
      <c r="G20" s="29"/>
      <c r="H20" s="38" t="s">
        <v>12</v>
      </c>
      <c r="I20" s="31"/>
      <c r="J20" s="31"/>
      <c r="K20" s="32"/>
      <c r="L20" s="39">
        <f ca="1">L23+L26</f>
        <v>2237437</v>
      </c>
      <c r="M20" s="39">
        <f ca="1">M23+M26</f>
        <v>1881857</v>
      </c>
      <c r="N20" s="39">
        <f ca="1">N23+N26</f>
        <v>681465.76</v>
      </c>
      <c r="O20" s="39">
        <f ca="1">IF(L20&gt;0,N20*100/L20,0)</f>
        <v>30.457427851599842</v>
      </c>
      <c r="P20" s="39">
        <f ca="1">IF(M20&gt;0,N20*100/M20,0)</f>
        <v>36.212409338222827</v>
      </c>
    </row>
    <row r="21" spans="1:16" ht="18.75" x14ac:dyDescent="0.25">
      <c r="A21" s="40"/>
      <c r="B21" s="41"/>
      <c r="C21" s="41"/>
      <c r="D21" s="42" t="s">
        <v>20</v>
      </c>
      <c r="E21" s="41"/>
      <c r="F21" s="41"/>
      <c r="G21" s="43"/>
      <c r="H21" s="44" t="s">
        <v>12</v>
      </c>
      <c r="I21" s="45"/>
      <c r="J21" s="45"/>
      <c r="K21" s="46"/>
      <c r="L21" s="47">
        <f ca="1">L22+L23</f>
        <v>2237437</v>
      </c>
      <c r="M21" s="47">
        <f ca="1">M22+M23</f>
        <v>1881857</v>
      </c>
      <c r="N21" s="47">
        <f ca="1">N22+N23</f>
        <v>681465.76</v>
      </c>
      <c r="O21" s="47">
        <f ca="1">IF(L21&gt;0,N21*100/L21,0)</f>
        <v>30.457427851599842</v>
      </c>
      <c r="P21" s="47">
        <f ca="1">IF(M21&gt;0,N21*100/M21,0)</f>
        <v>36.212409338222827</v>
      </c>
    </row>
    <row r="22" spans="1:16" ht="18.75" hidden="1" x14ac:dyDescent="0.25">
      <c r="A22" s="40"/>
      <c r="B22" s="41"/>
      <c r="C22" s="41"/>
      <c r="D22" s="41"/>
      <c r="E22" s="279" t="s">
        <v>18</v>
      </c>
      <c r="F22" s="41"/>
      <c r="G22" s="43"/>
      <c r="H22" s="49" t="s">
        <v>12</v>
      </c>
      <c r="I22" s="45"/>
      <c r="J22" s="45"/>
      <c r="K22" s="46"/>
      <c r="L22" s="50">
        <f>L48+L63+L76+L98+L129+L143+L161+L190+L177+L270+L286+L307+L324+L337+L360+L381</f>
        <v>0</v>
      </c>
      <c r="M22" s="50">
        <f>M48+M63+M76+M98+M129+M143+M161+M190+M177+M270+M286+M307+M324+M337+M360+M381</f>
        <v>0</v>
      </c>
      <c r="N22" s="50">
        <f>N48+N63+N76+N98+N129+N143+N161+N190+N177+N270+N286+N307+N324+N337+N360+N381</f>
        <v>0</v>
      </c>
      <c r="O22" s="50">
        <f>IF(L22&gt;0,N22*100/L22,0)</f>
        <v>0</v>
      </c>
      <c r="P22" s="50">
        <f>IF(M22&gt;0,N22*100/M22,0)</f>
        <v>0</v>
      </c>
    </row>
    <row r="23" spans="1:16" ht="18.75" x14ac:dyDescent="0.25">
      <c r="A23" s="40"/>
      <c r="B23" s="41"/>
      <c r="C23" s="41"/>
      <c r="D23" s="41"/>
      <c r="E23" s="254" t="s">
        <v>19</v>
      </c>
      <c r="F23" s="41"/>
      <c r="G23" s="43"/>
      <c r="H23" s="44" t="s">
        <v>12</v>
      </c>
      <c r="I23" s="45"/>
      <c r="J23" s="45"/>
      <c r="K23" s="46"/>
      <c r="L23" s="47">
        <f ca="1">L49+L64+L77+L99+L130+L144+L162+L191+L178+L271+L287+L308+L325+L338+L361+L382</f>
        <v>2237437</v>
      </c>
      <c r="M23" s="47">
        <f ca="1">M49+M64+M77+M99+M130+M144+M162+M191+M178+M271+M287+M308+M325+M338+M361+M382</f>
        <v>1881857</v>
      </c>
      <c r="N23" s="47">
        <f ca="1">N49+N64+N77+N99+N130+N144+N162+N191+N178+N271+N287+N308+N325+N338+N361+N382</f>
        <v>681465.76</v>
      </c>
      <c r="O23" s="47">
        <f ca="1">IF(L23&gt;0,N23*100/L23,0)</f>
        <v>30.457427851599842</v>
      </c>
      <c r="P23" s="47">
        <f ca="1">IF(M23&gt;0,N23*100/M23,0)</f>
        <v>36.212409338222827</v>
      </c>
    </row>
    <row r="24" spans="1:16" ht="18.75" x14ac:dyDescent="0.25">
      <c r="A24" s="40"/>
      <c r="B24" s="41"/>
      <c r="C24" s="41"/>
      <c r="D24" s="42" t="s">
        <v>21</v>
      </c>
      <c r="E24" s="41"/>
      <c r="F24" s="41"/>
      <c r="G24" s="43"/>
      <c r="H24" s="44" t="s">
        <v>12</v>
      </c>
      <c r="I24" s="45"/>
      <c r="J24" s="45"/>
      <c r="K24" s="46"/>
      <c r="L24" s="47">
        <f ca="1">L25+L26</f>
        <v>0</v>
      </c>
      <c r="M24" s="47">
        <f ca="1">M25+M26</f>
        <v>0</v>
      </c>
      <c r="N24" s="47">
        <f ca="1">N25+N26</f>
        <v>0</v>
      </c>
      <c r="O24" s="47">
        <f ca="1">IF(L24&gt;0,N24*100/L24,0)</f>
        <v>0</v>
      </c>
      <c r="P24" s="47">
        <f ca="1">IF(M24&gt;0,N24*100/M24,0)</f>
        <v>0</v>
      </c>
    </row>
    <row r="25" spans="1:16" ht="18.75" hidden="1" x14ac:dyDescent="0.25">
      <c r="A25" s="40"/>
      <c r="B25" s="41"/>
      <c r="C25" s="41"/>
      <c r="D25" s="41"/>
      <c r="E25" s="279" t="s">
        <v>18</v>
      </c>
      <c r="F25" s="41"/>
      <c r="G25" s="43"/>
      <c r="H25" s="49" t="s">
        <v>12</v>
      </c>
      <c r="I25" s="45"/>
      <c r="J25" s="45"/>
      <c r="K25" s="46"/>
      <c r="L25" s="50">
        <f>L51+L66+L79+L101+L132+L146+L164+L193+L180+L273+L289+L310+L327+L340+L363+L384</f>
        <v>0</v>
      </c>
      <c r="M25" s="50">
        <f>M51+M66+M79+M101+M132+M146+M164+M193+M180+M273+M289+M310+M327+M340+M363+M384</f>
        <v>0</v>
      </c>
      <c r="N25" s="50">
        <f>N51+N66+N79+N101+N132+N146+N164+N193+N180+N273+N289+N310+N327+N340+N363+N384</f>
        <v>0</v>
      </c>
      <c r="O25" s="50">
        <f>IF(L25&gt;0,N25*100/L25,0)</f>
        <v>0</v>
      </c>
      <c r="P25" s="50">
        <f>IF(M25&gt;0,N25*100/M25,0)</f>
        <v>0</v>
      </c>
    </row>
    <row r="26" spans="1:16" ht="18.75" x14ac:dyDescent="0.25">
      <c r="A26" s="40"/>
      <c r="B26" s="41"/>
      <c r="C26" s="41"/>
      <c r="D26" s="41"/>
      <c r="E26" s="254" t="s">
        <v>19</v>
      </c>
      <c r="F26" s="41"/>
      <c r="G26" s="43"/>
      <c r="H26" s="44" t="s">
        <v>12</v>
      </c>
      <c r="I26" s="45"/>
      <c r="J26" s="45"/>
      <c r="K26" s="46"/>
      <c r="L26" s="47">
        <f ca="1">L52+L67+L80+L102+L133+L147+L165+L194+L181+L274+L290+L311+L328+L341+L364+L385</f>
        <v>0</v>
      </c>
      <c r="M26" s="47">
        <f ca="1">M52+M67+M80+M102+M133+M147+M165+M194+M181+M274+M290+M311+M328+M341+M364+M385</f>
        <v>0</v>
      </c>
      <c r="N26" s="47">
        <f ca="1">N52+N67+N80+N102+N133+N147+N165+N194+N181+N274+N290+N311+N328+N341+N364+N385</f>
        <v>0</v>
      </c>
      <c r="O26" s="47">
        <f ca="1">IF(L26&gt;0,N26*100/L26,0)</f>
        <v>0</v>
      </c>
      <c r="P26" s="47">
        <f ca="1">IF(M26&gt;0,N26*100/M26,0)</f>
        <v>0</v>
      </c>
    </row>
    <row r="27" spans="1:16" ht="18.75" hidden="1" x14ac:dyDescent="0.25">
      <c r="A27" s="40"/>
      <c r="B27" s="41"/>
      <c r="C27" s="41"/>
      <c r="D27" s="42" t="s">
        <v>22</v>
      </c>
      <c r="E27" s="41"/>
      <c r="F27" s="41"/>
      <c r="G27" s="43"/>
      <c r="H27" s="44" t="s">
        <v>12</v>
      </c>
      <c r="I27" s="45"/>
      <c r="J27" s="45"/>
      <c r="K27" s="46"/>
      <c r="L27" s="47"/>
      <c r="M27" s="47"/>
      <c r="N27" s="47"/>
      <c r="O27" s="47"/>
      <c r="P27" s="47"/>
    </row>
    <row r="28" spans="1:16" ht="18.75" hidden="1" x14ac:dyDescent="0.25">
      <c r="A28" s="40"/>
      <c r="B28" s="41"/>
      <c r="C28" s="41"/>
      <c r="D28" s="41"/>
      <c r="E28" s="279" t="s">
        <v>18</v>
      </c>
      <c r="F28" s="41"/>
      <c r="G28" s="43"/>
      <c r="H28" s="49" t="s">
        <v>12</v>
      </c>
      <c r="I28" s="45"/>
      <c r="J28" s="45"/>
      <c r="K28" s="46"/>
      <c r="L28" s="50"/>
      <c r="M28" s="50"/>
      <c r="N28" s="50"/>
      <c r="O28" s="50"/>
      <c r="P28" s="50"/>
    </row>
    <row r="29" spans="1:16" ht="18.75" hidden="1" x14ac:dyDescent="0.25">
      <c r="A29" s="52"/>
      <c r="B29" s="1"/>
      <c r="C29" s="1"/>
      <c r="D29" s="1"/>
      <c r="E29" s="53" t="s">
        <v>19</v>
      </c>
      <c r="F29" s="1"/>
      <c r="G29" s="54"/>
      <c r="H29" s="55" t="s">
        <v>12</v>
      </c>
      <c r="I29" s="56"/>
      <c r="J29" s="56"/>
      <c r="K29" s="57"/>
      <c r="L29" s="58"/>
      <c r="M29" s="58"/>
      <c r="N29" s="58"/>
      <c r="O29" s="58"/>
      <c r="P29" s="58"/>
    </row>
    <row r="30" spans="1:16" ht="12.75" hidden="1" x14ac:dyDescent="0.2">
      <c r="A30" s="381"/>
      <c r="B30" s="379"/>
      <c r="C30" s="379"/>
      <c r="D30" s="379"/>
      <c r="E30" s="379"/>
      <c r="F30" s="379"/>
      <c r="G30" s="380"/>
      <c r="H30" s="12"/>
      <c r="I30" s="13"/>
      <c r="J30" s="13"/>
      <c r="K30" s="14"/>
      <c r="L30" s="14"/>
      <c r="M30" s="14"/>
      <c r="N30" s="14"/>
      <c r="O30" s="14"/>
      <c r="P30" s="14"/>
    </row>
    <row r="31" spans="1:16" ht="12.75" hidden="1" x14ac:dyDescent="0.2">
      <c r="A31" s="15"/>
      <c r="B31" s="16"/>
      <c r="C31" s="16"/>
      <c r="D31" s="16"/>
      <c r="E31" s="16"/>
      <c r="F31" s="16"/>
      <c r="G31" s="17"/>
      <c r="H31" s="17"/>
      <c r="I31" s="18"/>
      <c r="J31" s="18"/>
      <c r="K31" s="19"/>
      <c r="L31" s="19"/>
      <c r="M31" s="19"/>
      <c r="N31" s="19"/>
      <c r="O31" s="19"/>
      <c r="P31" s="19"/>
    </row>
    <row r="32" spans="1:16" ht="12.75" hidden="1" x14ac:dyDescent="0.2">
      <c r="A32" s="15"/>
      <c r="B32" s="16"/>
      <c r="C32" s="16"/>
      <c r="D32" s="16"/>
      <c r="E32" s="16"/>
      <c r="F32" s="16"/>
      <c r="G32" s="17"/>
      <c r="H32" s="17"/>
      <c r="I32" s="18"/>
      <c r="J32" s="18"/>
      <c r="K32" s="19"/>
      <c r="L32" s="19"/>
      <c r="M32" s="19"/>
      <c r="N32" s="19"/>
      <c r="O32" s="19"/>
      <c r="P32" s="19"/>
    </row>
    <row r="33" spans="1:16" ht="12.75" hidden="1" x14ac:dyDescent="0.2">
      <c r="A33" s="15"/>
      <c r="B33" s="16"/>
      <c r="C33" s="16"/>
      <c r="D33" s="16"/>
      <c r="E33" s="16"/>
      <c r="F33" s="16"/>
      <c r="G33" s="17"/>
      <c r="H33" s="17"/>
      <c r="I33" s="18"/>
      <c r="J33" s="18"/>
      <c r="K33" s="19"/>
      <c r="L33" s="19"/>
      <c r="M33" s="19"/>
      <c r="N33" s="19"/>
      <c r="O33" s="19"/>
      <c r="P33" s="19"/>
    </row>
    <row r="34" spans="1:16" ht="12.75" hidden="1" x14ac:dyDescent="0.2">
      <c r="A34" s="15"/>
      <c r="B34" s="16"/>
      <c r="C34" s="16"/>
      <c r="D34" s="16"/>
      <c r="E34" s="16"/>
      <c r="F34" s="16"/>
      <c r="G34" s="17"/>
      <c r="H34" s="17"/>
      <c r="I34" s="18"/>
      <c r="J34" s="18"/>
      <c r="K34" s="19"/>
      <c r="L34" s="19"/>
      <c r="M34" s="19"/>
      <c r="N34" s="19"/>
      <c r="O34" s="19"/>
      <c r="P34" s="19"/>
    </row>
    <row r="35" spans="1:16" ht="12.75" hidden="1" x14ac:dyDescent="0.2">
      <c r="A35" s="15"/>
      <c r="B35" s="16"/>
      <c r="C35" s="16"/>
      <c r="D35" s="16"/>
      <c r="E35" s="16"/>
      <c r="F35" s="16"/>
      <c r="G35" s="17"/>
      <c r="H35" s="17"/>
      <c r="I35" s="18"/>
      <c r="J35" s="18"/>
      <c r="K35" s="19"/>
      <c r="L35" s="19"/>
      <c r="M35" s="19"/>
      <c r="N35" s="19"/>
      <c r="O35" s="19"/>
      <c r="P35" s="19"/>
    </row>
    <row r="36" spans="1:16" ht="12.75" hidden="1" x14ac:dyDescent="0.2">
      <c r="A36" s="15"/>
      <c r="B36" s="16"/>
      <c r="C36" s="16"/>
      <c r="D36" s="16"/>
      <c r="E36" s="16"/>
      <c r="F36" s="16"/>
      <c r="G36" s="17"/>
      <c r="H36" s="17"/>
      <c r="I36" s="18"/>
      <c r="J36" s="18"/>
      <c r="K36" s="19"/>
      <c r="L36" s="19"/>
      <c r="M36" s="19"/>
      <c r="N36" s="19"/>
      <c r="O36" s="19"/>
      <c r="P36" s="19"/>
    </row>
    <row r="37" spans="1:16" ht="12.75" hidden="1" x14ac:dyDescent="0.2">
      <c r="A37" s="15"/>
      <c r="B37" s="16"/>
      <c r="C37" s="16"/>
      <c r="D37" s="16"/>
      <c r="E37" s="16"/>
      <c r="F37" s="16"/>
      <c r="G37" s="17"/>
      <c r="H37" s="17"/>
      <c r="I37" s="18"/>
      <c r="J37" s="18"/>
      <c r="K37" s="19"/>
      <c r="L37" s="19"/>
      <c r="M37" s="19"/>
      <c r="N37" s="19"/>
      <c r="O37" s="19"/>
      <c r="P37" s="19"/>
    </row>
    <row r="38" spans="1:16" ht="12.75" hidden="1" x14ac:dyDescent="0.2">
      <c r="A38" s="15"/>
      <c r="B38" s="16"/>
      <c r="C38" s="16"/>
      <c r="D38" s="16"/>
      <c r="E38" s="16"/>
      <c r="F38" s="16"/>
      <c r="G38" s="17"/>
      <c r="H38" s="17"/>
      <c r="I38" s="18"/>
      <c r="J38" s="18"/>
      <c r="K38" s="19"/>
      <c r="L38" s="19"/>
      <c r="M38" s="19"/>
      <c r="N38" s="19"/>
      <c r="O38" s="19"/>
      <c r="P38" s="19"/>
    </row>
    <row r="39" spans="1:16" ht="12.75" hidden="1" x14ac:dyDescent="0.2">
      <c r="A39" s="20"/>
      <c r="B39" s="21"/>
      <c r="C39" s="21"/>
      <c r="D39" s="21"/>
      <c r="E39" s="21"/>
      <c r="F39" s="21"/>
      <c r="G39" s="12"/>
      <c r="H39" s="12"/>
      <c r="I39" s="13"/>
      <c r="J39" s="13"/>
      <c r="K39" s="14"/>
      <c r="L39" s="14"/>
      <c r="M39" s="14"/>
      <c r="N39" s="14"/>
      <c r="O39" s="14"/>
      <c r="P39" s="14"/>
    </row>
    <row r="40" spans="1:16" ht="19.5" hidden="1" x14ac:dyDescent="0.3">
      <c r="A40" s="59" t="s">
        <v>23</v>
      </c>
      <c r="B40" s="60"/>
      <c r="C40" s="60"/>
      <c r="D40" s="60"/>
      <c r="E40" s="60"/>
      <c r="F40" s="60"/>
      <c r="G40" s="61"/>
      <c r="H40" s="61"/>
      <c r="I40" s="62"/>
      <c r="J40" s="62"/>
      <c r="K40" s="63"/>
      <c r="L40" s="64">
        <f ca="1">L44+L59+L72+L94+L125+L139+L157+L173+L186+L266+L282+L303+L320+L333+L356</f>
        <v>2237437</v>
      </c>
      <c r="M40" s="64">
        <f ca="1">M44+M59+M72+M94+M125+M139+M157+M173+M186+M266+M282+M303+M320+M333+M356</f>
        <v>1881857</v>
      </c>
      <c r="N40" s="64">
        <f ca="1">N44+N59+N72+N94+N125+N139+N157+N173+N186+N266+N282+N303+N320+N333+N356</f>
        <v>681465.76</v>
      </c>
      <c r="O40" s="64">
        <f ca="1">IF(L40&gt;0,N40*100/L40,0)</f>
        <v>30.457427851599842</v>
      </c>
      <c r="P40" s="64">
        <f ca="1">IF(M40&gt;0,N40*100/M40,0)</f>
        <v>36.212409338222827</v>
      </c>
    </row>
    <row r="41" spans="1:16" ht="19.5" x14ac:dyDescent="0.3">
      <c r="A41" s="65" t="s">
        <v>24</v>
      </c>
      <c r="B41" s="66"/>
      <c r="C41" s="66"/>
      <c r="D41" s="66"/>
      <c r="E41" s="66"/>
      <c r="F41" s="66"/>
      <c r="G41" s="66"/>
      <c r="H41" s="66"/>
      <c r="I41" s="67"/>
      <c r="J41" s="67"/>
      <c r="K41" s="68"/>
      <c r="L41" s="68"/>
      <c r="M41" s="68"/>
      <c r="N41" s="68"/>
      <c r="O41" s="68"/>
      <c r="P41" s="69"/>
    </row>
    <row r="42" spans="1:16" ht="19.5" x14ac:dyDescent="0.3">
      <c r="A42" s="70"/>
      <c r="B42" s="71" t="s">
        <v>25</v>
      </c>
      <c r="C42" s="70"/>
      <c r="D42" s="70"/>
      <c r="E42" s="70"/>
      <c r="F42" s="70"/>
      <c r="G42" s="72"/>
      <c r="H42" s="72"/>
      <c r="I42" s="73"/>
      <c r="J42" s="73"/>
      <c r="K42" s="74"/>
      <c r="L42" s="74"/>
      <c r="M42" s="74"/>
      <c r="N42" s="74"/>
      <c r="O42" s="74"/>
      <c r="P42" s="74"/>
    </row>
    <row r="43" spans="1:16" ht="12.75" hidden="1" x14ac:dyDescent="0.2">
      <c r="A43" s="15"/>
      <c r="B43" s="16"/>
      <c r="C43" s="16"/>
      <c r="D43" s="16"/>
      <c r="E43" s="16"/>
      <c r="F43" s="16"/>
      <c r="G43" s="17"/>
      <c r="H43" s="17"/>
      <c r="I43" s="18"/>
      <c r="J43" s="18"/>
      <c r="K43" s="19"/>
      <c r="L43" s="19"/>
      <c r="M43" s="19"/>
      <c r="N43" s="19"/>
      <c r="O43" s="19"/>
      <c r="P43" s="19"/>
    </row>
    <row r="44" spans="1:16" ht="19.5" x14ac:dyDescent="0.3">
      <c r="A44" s="75"/>
      <c r="B44" s="76"/>
      <c r="C44" s="77" t="s">
        <v>16</v>
      </c>
      <c r="D44" s="404" t="s">
        <v>17</v>
      </c>
      <c r="E44" s="76"/>
      <c r="F44" s="76"/>
      <c r="G44" s="79"/>
      <c r="H44" s="80" t="s">
        <v>12</v>
      </c>
      <c r="I44" s="81"/>
      <c r="J44" s="81"/>
      <c r="K44" s="82"/>
      <c r="L44" s="83">
        <f ca="1">L45+L46</f>
        <v>382392</v>
      </c>
      <c r="M44" s="83">
        <f ca="1">M45+M46</f>
        <v>382392</v>
      </c>
      <c r="N44" s="83">
        <f ca="1">N45+N46</f>
        <v>170625</v>
      </c>
      <c r="O44" s="83">
        <f ca="1">IF(L44&gt;0,N44*100/L44,0)</f>
        <v>44.620441850247914</v>
      </c>
      <c r="P44" s="83">
        <f ca="1">IF(M44&gt;0,N44*100/M44,0)</f>
        <v>44.620441850247914</v>
      </c>
    </row>
    <row r="45" spans="1:16" ht="18.75" hidden="1" x14ac:dyDescent="0.25">
      <c r="A45" s="75"/>
      <c r="B45" s="76"/>
      <c r="C45" s="76"/>
      <c r="D45" s="76"/>
      <c r="E45" s="84" t="s">
        <v>18</v>
      </c>
      <c r="F45" s="76"/>
      <c r="G45" s="79"/>
      <c r="H45" s="85" t="s">
        <v>12</v>
      </c>
      <c r="I45" s="81"/>
      <c r="J45" s="81"/>
      <c r="K45" s="82"/>
      <c r="L45" s="86">
        <f>L48+L51</f>
        <v>0</v>
      </c>
      <c r="M45" s="86">
        <f>M48+M51</f>
        <v>0</v>
      </c>
      <c r="N45" s="86">
        <f>N48+N51</f>
        <v>0</v>
      </c>
      <c r="O45" s="86">
        <f>IF(L45&gt;0,N45*100/L45,0)</f>
        <v>0</v>
      </c>
      <c r="P45" s="86">
        <f>IF(M45&gt;0,N45*100/M45,0)</f>
        <v>0</v>
      </c>
    </row>
    <row r="46" spans="1:16" ht="18.75" x14ac:dyDescent="0.25">
      <c r="A46" s="75"/>
      <c r="B46" s="76"/>
      <c r="C46" s="76"/>
      <c r="D46" s="76"/>
      <c r="E46" s="87" t="s">
        <v>19</v>
      </c>
      <c r="F46" s="76"/>
      <c r="G46" s="79"/>
      <c r="H46" s="88" t="s">
        <v>12</v>
      </c>
      <c r="I46" s="81"/>
      <c r="J46" s="81"/>
      <c r="K46" s="82"/>
      <c r="L46" s="89">
        <f ca="1">L49+L52</f>
        <v>382392</v>
      </c>
      <c r="M46" s="89">
        <f ca="1">M49+M52</f>
        <v>382392</v>
      </c>
      <c r="N46" s="89">
        <f ca="1">N49+N52</f>
        <v>170625</v>
      </c>
      <c r="O46" s="89">
        <f ca="1">IF(L46&gt;0,N46*100/L46,0)</f>
        <v>44.620441850247914</v>
      </c>
      <c r="P46" s="89">
        <f ca="1">IF(M46&gt;0,N46*100/M46,0)</f>
        <v>44.620441850247914</v>
      </c>
    </row>
    <row r="47" spans="1:16" ht="18.75" x14ac:dyDescent="0.25">
      <c r="A47" s="40"/>
      <c r="B47" s="41"/>
      <c r="C47" s="41"/>
      <c r="D47" s="42" t="s">
        <v>20</v>
      </c>
      <c r="E47" s="41"/>
      <c r="F47" s="41"/>
      <c r="G47" s="43"/>
      <c r="H47" s="44" t="s">
        <v>12</v>
      </c>
      <c r="I47" s="45"/>
      <c r="J47" s="45"/>
      <c r="K47" s="46"/>
      <c r="L47" s="47">
        <f ca="1">L48+L49</f>
        <v>382392</v>
      </c>
      <c r="M47" s="47">
        <f ca="1">M48+M49</f>
        <v>382392</v>
      </c>
      <c r="N47" s="47">
        <f ca="1">N48+N49</f>
        <v>170625</v>
      </c>
      <c r="O47" s="47">
        <f ca="1">IF(L47&gt;0,N47*100/L47,0)</f>
        <v>44.620441850247914</v>
      </c>
      <c r="P47" s="47">
        <f ca="1">IF(M47&gt;0,N47*100/M47,0)</f>
        <v>44.620441850247914</v>
      </c>
    </row>
    <row r="48" spans="1:16" ht="18.75" hidden="1" x14ac:dyDescent="0.25">
      <c r="A48" s="40"/>
      <c r="B48" s="41"/>
      <c r="C48" s="41"/>
      <c r="D48" s="41"/>
      <c r="E48" s="279" t="s">
        <v>18</v>
      </c>
      <c r="F48" s="41"/>
      <c r="G48" s="43"/>
      <c r="H48" s="49" t="s">
        <v>12</v>
      </c>
      <c r="I48" s="45"/>
      <c r="J48" s="45"/>
      <c r="K48" s="46"/>
      <c r="L48" s="50">
        <v>0</v>
      </c>
      <c r="M48" s="50">
        <v>0</v>
      </c>
      <c r="N48" s="50">
        <v>0</v>
      </c>
      <c r="O48" s="50">
        <f>IF(L48&gt;0,N48*100/L48,0)</f>
        <v>0</v>
      </c>
      <c r="P48" s="50">
        <f>IF(M48&gt;0,N48*100/M48,0)</f>
        <v>0</v>
      </c>
    </row>
    <row r="49" spans="1:16" ht="18.75" x14ac:dyDescent="0.25">
      <c r="A49" s="40"/>
      <c r="B49" s="41"/>
      <c r="C49" s="41"/>
      <c r="D49" s="41"/>
      <c r="E49" s="254" t="s">
        <v>19</v>
      </c>
      <c r="F49" s="41"/>
      <c r="G49" s="43"/>
      <c r="H49" s="44" t="s">
        <v>12</v>
      </c>
      <c r="I49" s="45"/>
      <c r="J49" s="45"/>
      <c r="K49" s="46"/>
      <c r="L49" s="47">
        <f ca="1">IFERROR(__xludf.DUMMYFUNCTION("IMPORTRANGE(""https://docs.google.com/spreadsheets/d/1-uDff_7J0KD5mKrp0Vvzr7lt3OU09vwQwhkpOPPYv2Y/edit?usp=sharing"",""งบพรบ!P18"")"),382392)</f>
        <v>382392</v>
      </c>
      <c r="M49" s="47">
        <f ca="1">IFERROR(__xludf.DUMMYFUNCTION("IMPORTRANGE(""https://docs.google.com/spreadsheets/d/1-uDff_7J0KD5mKrp0Vvzr7lt3OU09vwQwhkpOPPYv2Y/edit?usp=sharing"",""งบพรบ!V18"")"),382392)</f>
        <v>382392</v>
      </c>
      <c r="N49" s="47">
        <f ca="1">IFERROR(__xludf.DUMMYFUNCTION("IMPORTRANGE(""https://docs.google.com/spreadsheets/d/1-uDff_7J0KD5mKrp0Vvzr7lt3OU09vwQwhkpOPPYv2Y/edit?usp=sharing"",""งบพรบ!Y18"")"),170625)</f>
        <v>170625</v>
      </c>
      <c r="O49" s="47">
        <f ca="1">IF(L49&gt;0,N49*100/L49,0)</f>
        <v>44.620441850247914</v>
      </c>
      <c r="P49" s="47">
        <f ca="1">IF(M49&gt;0,N49*100/M49,0)</f>
        <v>44.620441850247914</v>
      </c>
    </row>
    <row r="50" spans="1:16" ht="18.75" x14ac:dyDescent="0.25">
      <c r="A50" s="40"/>
      <c r="B50" s="41"/>
      <c r="C50" s="41"/>
      <c r="D50" s="42" t="s">
        <v>21</v>
      </c>
      <c r="E50" s="41"/>
      <c r="F50" s="41"/>
      <c r="G50" s="43"/>
      <c r="H50" s="44" t="s">
        <v>12</v>
      </c>
      <c r="I50" s="45"/>
      <c r="J50" s="45"/>
      <c r="K50" s="46"/>
      <c r="L50" s="47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</row>
    <row r="51" spans="1:16" ht="18.75" hidden="1" x14ac:dyDescent="0.25">
      <c r="A51" s="40"/>
      <c r="B51" s="41"/>
      <c r="C51" s="41"/>
      <c r="D51" s="41"/>
      <c r="E51" s="279" t="s">
        <v>18</v>
      </c>
      <c r="F51" s="41"/>
      <c r="G51" s="43"/>
      <c r="H51" s="49" t="s">
        <v>12</v>
      </c>
      <c r="I51" s="45"/>
      <c r="J51" s="45"/>
      <c r="K51" s="46"/>
      <c r="L51" s="50">
        <v>0</v>
      </c>
      <c r="M51" s="50">
        <v>0</v>
      </c>
      <c r="N51" s="50">
        <v>0</v>
      </c>
      <c r="O51" s="50">
        <f>IF(L51&gt;0,N51*100/L51,0)</f>
        <v>0</v>
      </c>
      <c r="P51" s="50">
        <f>IF(M51&gt;0,N51*100/M51,0)</f>
        <v>0</v>
      </c>
    </row>
    <row r="52" spans="1:16" ht="18.75" x14ac:dyDescent="0.25">
      <c r="A52" s="40"/>
      <c r="B52" s="41"/>
      <c r="C52" s="41"/>
      <c r="D52" s="41"/>
      <c r="E52" s="254" t="s">
        <v>19</v>
      </c>
      <c r="F52" s="41"/>
      <c r="G52" s="43"/>
      <c r="H52" s="44" t="s">
        <v>12</v>
      </c>
      <c r="I52" s="45"/>
      <c r="J52" s="45"/>
      <c r="K52" s="46"/>
      <c r="L52" s="47">
        <f ca="1">IFERROR(__xludf.DUMMYFUNCTION("IMPORTRANGE(""https://docs.google.com/spreadsheets/d/1-uDff_7J0KD5mKrp0Vvzr7lt3OU09vwQwhkpOPPYv2Y/edit?usp=sharing"",""งบพรบ!S18"")"),0)</f>
        <v>0</v>
      </c>
      <c r="M52" s="47">
        <f ca="1">IFERROR(__xludf.DUMMYFUNCTION("IMPORTRANGE(""https://docs.google.com/spreadsheets/d/1-uDff_7J0KD5mKrp0Vvzr7lt3OU09vwQwhkpOPPYv2Y/edit?usp=sharing"",""งบพรบ!W18"")"),0)</f>
        <v>0</v>
      </c>
      <c r="N52" s="47">
        <f ca="1">IFERROR(__xludf.DUMMYFUNCTION("IMPORTRANGE(""https://docs.google.com/spreadsheets/d/1-uDff_7J0KD5mKrp0Vvzr7lt3OU09vwQwhkpOPPYv2Y/edit?usp=sharing"",""งบพรบ!Z18"")"),0)</f>
        <v>0</v>
      </c>
      <c r="O52" s="47">
        <f ca="1">IF(L52&gt;0,N52*100/L52,0)</f>
        <v>0</v>
      </c>
      <c r="P52" s="47">
        <f ca="1">IF(M52&gt;0,N52*100/M52,0)</f>
        <v>0</v>
      </c>
    </row>
    <row r="53" spans="1:16" ht="18.75" hidden="1" x14ac:dyDescent="0.25">
      <c r="A53" s="40"/>
      <c r="B53" s="41"/>
      <c r="C53" s="41"/>
      <c r="D53" s="42" t="s">
        <v>22</v>
      </c>
      <c r="E53" s="41"/>
      <c r="F53" s="41"/>
      <c r="G53" s="43"/>
      <c r="H53" s="44" t="s">
        <v>12</v>
      </c>
      <c r="I53" s="45"/>
      <c r="J53" s="45"/>
      <c r="K53" s="46"/>
      <c r="L53" s="47"/>
      <c r="M53" s="47"/>
      <c r="N53" s="47"/>
      <c r="O53" s="47"/>
      <c r="P53" s="47"/>
    </row>
    <row r="54" spans="1:16" ht="18.75" hidden="1" x14ac:dyDescent="0.25">
      <c r="A54" s="40"/>
      <c r="B54" s="41"/>
      <c r="C54" s="41"/>
      <c r="D54" s="41"/>
      <c r="E54" s="279" t="s">
        <v>18</v>
      </c>
      <c r="F54" s="41"/>
      <c r="G54" s="43"/>
      <c r="H54" s="49" t="s">
        <v>12</v>
      </c>
      <c r="I54" s="45"/>
      <c r="J54" s="45"/>
      <c r="K54" s="46"/>
      <c r="L54" s="50"/>
      <c r="M54" s="50"/>
      <c r="N54" s="50"/>
      <c r="O54" s="50"/>
      <c r="P54" s="50"/>
    </row>
    <row r="55" spans="1:16" ht="18.75" hidden="1" x14ac:dyDescent="0.25">
      <c r="A55" s="52"/>
      <c r="B55" s="1"/>
      <c r="C55" s="1"/>
      <c r="D55" s="1"/>
      <c r="E55" s="53" t="s">
        <v>19</v>
      </c>
      <c r="F55" s="1"/>
      <c r="G55" s="54"/>
      <c r="H55" s="55" t="s">
        <v>12</v>
      </c>
      <c r="I55" s="56"/>
      <c r="J55" s="56"/>
      <c r="K55" s="57"/>
      <c r="L55" s="58"/>
      <c r="M55" s="58"/>
      <c r="N55" s="58"/>
      <c r="O55" s="58"/>
      <c r="P55" s="58"/>
    </row>
    <row r="56" spans="1:16" ht="19.5" x14ac:dyDescent="0.3">
      <c r="A56" s="382" t="s">
        <v>26</v>
      </c>
      <c r="B56" s="379"/>
      <c r="C56" s="379"/>
      <c r="D56" s="379"/>
      <c r="E56" s="379"/>
      <c r="F56" s="379"/>
      <c r="G56" s="380"/>
      <c r="H56" s="90"/>
      <c r="I56" s="91"/>
      <c r="J56" s="91"/>
      <c r="K56" s="92"/>
      <c r="L56" s="92"/>
      <c r="M56" s="92"/>
      <c r="N56" s="92"/>
      <c r="O56" s="92"/>
      <c r="P56" s="93"/>
    </row>
    <row r="57" spans="1:16" ht="19.5" x14ac:dyDescent="0.3">
      <c r="A57" s="94"/>
      <c r="B57" s="383" t="s">
        <v>27</v>
      </c>
      <c r="C57" s="384"/>
      <c r="D57" s="384"/>
      <c r="E57" s="384"/>
      <c r="F57" s="384"/>
      <c r="G57" s="385"/>
      <c r="H57" s="95"/>
      <c r="I57" s="96"/>
      <c r="J57" s="96"/>
      <c r="K57" s="97"/>
      <c r="L57" s="97"/>
      <c r="M57" s="97"/>
      <c r="N57" s="97"/>
      <c r="O57" s="97"/>
      <c r="P57" s="97"/>
    </row>
    <row r="58" spans="1:16" ht="19.5" x14ac:dyDescent="0.3">
      <c r="A58" s="98"/>
      <c r="B58" s="99" t="s">
        <v>28</v>
      </c>
      <c r="C58" s="100"/>
      <c r="D58" s="100"/>
      <c r="E58" s="100"/>
      <c r="F58" s="100"/>
      <c r="G58" s="101"/>
      <c r="H58" s="101"/>
      <c r="I58" s="102"/>
      <c r="J58" s="102"/>
      <c r="K58" s="103"/>
      <c r="L58" s="103"/>
      <c r="M58" s="103"/>
      <c r="N58" s="103"/>
      <c r="O58" s="103"/>
      <c r="P58" s="103"/>
    </row>
    <row r="59" spans="1:16" ht="19.5" x14ac:dyDescent="0.3">
      <c r="A59" s="104"/>
      <c r="B59" s="105"/>
      <c r="C59" s="106" t="s">
        <v>16</v>
      </c>
      <c r="D59" s="403" t="s">
        <v>17</v>
      </c>
      <c r="E59" s="105"/>
      <c r="F59" s="105"/>
      <c r="G59" s="108"/>
      <c r="H59" s="109" t="s">
        <v>12</v>
      </c>
      <c r="I59" s="110"/>
      <c r="J59" s="110"/>
      <c r="K59" s="111"/>
      <c r="L59" s="112">
        <f ca="1">L60+L61</f>
        <v>643100</v>
      </c>
      <c r="M59" s="112">
        <f ca="1">M60+M61</f>
        <v>543890</v>
      </c>
      <c r="N59" s="112">
        <f ca="1">N60+N61</f>
        <v>344856.76</v>
      </c>
      <c r="O59" s="112">
        <f ca="1">IF(L59&gt;0,N59*100/L59,0)</f>
        <v>53.624126885398852</v>
      </c>
      <c r="P59" s="112">
        <f ca="1">IF(M59&gt;0,N59*100/M59,0)</f>
        <v>63.405607751567409</v>
      </c>
    </row>
    <row r="60" spans="1:16" ht="18.75" hidden="1" x14ac:dyDescent="0.25">
      <c r="A60" s="104"/>
      <c r="B60" s="105"/>
      <c r="C60" s="105"/>
      <c r="D60" s="105"/>
      <c r="E60" s="113" t="s">
        <v>18</v>
      </c>
      <c r="F60" s="105"/>
      <c r="G60" s="108"/>
      <c r="H60" s="114" t="s">
        <v>12</v>
      </c>
      <c r="I60" s="110"/>
      <c r="J60" s="110"/>
      <c r="K60" s="111"/>
      <c r="L60" s="115">
        <f>L63+L66</f>
        <v>0</v>
      </c>
      <c r="M60" s="115">
        <f>M63+M66</f>
        <v>0</v>
      </c>
      <c r="N60" s="115">
        <f>N63+N66</f>
        <v>0</v>
      </c>
      <c r="O60" s="115">
        <f>IF(L60&gt;0,N60*100/L60,0)</f>
        <v>0</v>
      </c>
      <c r="P60" s="115">
        <f>IF(M60&gt;0,N60*100/M60,0)</f>
        <v>0</v>
      </c>
    </row>
    <row r="61" spans="1:16" ht="18.75" x14ac:dyDescent="0.25">
      <c r="A61" s="104"/>
      <c r="B61" s="105"/>
      <c r="C61" s="105"/>
      <c r="D61" s="105"/>
      <c r="E61" s="116" t="s">
        <v>19</v>
      </c>
      <c r="F61" s="105"/>
      <c r="G61" s="108"/>
      <c r="H61" s="117" t="s">
        <v>12</v>
      </c>
      <c r="I61" s="110"/>
      <c r="J61" s="110"/>
      <c r="K61" s="111"/>
      <c r="L61" s="118">
        <f ca="1">L64+L67</f>
        <v>643100</v>
      </c>
      <c r="M61" s="118">
        <f ca="1">M64+M67</f>
        <v>543890</v>
      </c>
      <c r="N61" s="118">
        <f ca="1">N64+N67</f>
        <v>344856.76</v>
      </c>
      <c r="O61" s="118">
        <f ca="1">IF(L61&gt;0,N61*100/L61,0)</f>
        <v>53.624126885398852</v>
      </c>
      <c r="P61" s="118">
        <f ca="1">IF(M61&gt;0,N61*100/M61,0)</f>
        <v>63.405607751567409</v>
      </c>
    </row>
    <row r="62" spans="1:16" ht="18.75" x14ac:dyDescent="0.25">
      <c r="A62" s="40"/>
      <c r="B62" s="41"/>
      <c r="C62" s="41"/>
      <c r="D62" s="42" t="s">
        <v>20</v>
      </c>
      <c r="E62" s="41"/>
      <c r="F62" s="41"/>
      <c r="G62" s="43"/>
      <c r="H62" s="44" t="s">
        <v>12</v>
      </c>
      <c r="I62" s="45"/>
      <c r="J62" s="45"/>
      <c r="K62" s="46"/>
      <c r="L62" s="47">
        <f ca="1">L63+L64</f>
        <v>643100</v>
      </c>
      <c r="M62" s="47">
        <f ca="1">M63+M64</f>
        <v>543890</v>
      </c>
      <c r="N62" s="47">
        <f ca="1">N63+N64</f>
        <v>344856.76</v>
      </c>
      <c r="O62" s="47">
        <f ca="1">IF(L62&gt;0,N62*100/L62,0)</f>
        <v>53.624126885398852</v>
      </c>
      <c r="P62" s="47">
        <f ca="1">IF(M62&gt;0,N62*100/M62,0)</f>
        <v>63.405607751567409</v>
      </c>
    </row>
    <row r="63" spans="1:16" ht="18.75" hidden="1" x14ac:dyDescent="0.25">
      <c r="A63" s="40"/>
      <c r="B63" s="41"/>
      <c r="C63" s="41"/>
      <c r="D63" s="41"/>
      <c r="E63" s="279" t="s">
        <v>18</v>
      </c>
      <c r="F63" s="41"/>
      <c r="G63" s="43"/>
      <c r="H63" s="49" t="s">
        <v>12</v>
      </c>
      <c r="I63" s="45"/>
      <c r="J63" s="45"/>
      <c r="K63" s="46"/>
      <c r="L63" s="50">
        <v>0</v>
      </c>
      <c r="M63" s="50">
        <v>0</v>
      </c>
      <c r="N63" s="50">
        <v>0</v>
      </c>
      <c r="O63" s="50">
        <f>IF(L63&gt;0,N63*100/L63,0)</f>
        <v>0</v>
      </c>
      <c r="P63" s="50">
        <f>IF(M63&gt;0,N63*100/M63,0)</f>
        <v>0</v>
      </c>
    </row>
    <row r="64" spans="1:16" ht="18.75" x14ac:dyDescent="0.25">
      <c r="A64" s="40"/>
      <c r="B64" s="41"/>
      <c r="C64" s="41"/>
      <c r="D64" s="41"/>
      <c r="E64" s="254" t="s">
        <v>19</v>
      </c>
      <c r="F64" s="41"/>
      <c r="G64" s="43"/>
      <c r="H64" s="44" t="s">
        <v>12</v>
      </c>
      <c r="I64" s="45"/>
      <c r="J64" s="45"/>
      <c r="K64" s="46"/>
      <c r="L64" s="47">
        <f ca="1">IFERROR(__xludf.DUMMYFUNCTION("IMPORTRANGE(""https://docs.google.com/spreadsheets/d/1-uDff_7J0KD5mKrp0Vvzr7lt3OU09vwQwhkpOPPYv2Y/edit?usp=sharing"",""งบพรบ!AC18"")"),643100)</f>
        <v>643100</v>
      </c>
      <c r="M64" s="47">
        <f ca="1">IFERROR(__xludf.DUMMYFUNCTION("IMPORTRANGE(""https://docs.google.com/spreadsheets/d/1-uDff_7J0KD5mKrp0Vvzr7lt3OU09vwQwhkpOPPYv2Y/edit?usp=sharing"",""งบพรบ!AH18"")"),543890)</f>
        <v>543890</v>
      </c>
      <c r="N64" s="47">
        <f ca="1">IFERROR(__xludf.DUMMYFUNCTION("IMPORTRANGE(""https://docs.google.com/spreadsheets/d/1-uDff_7J0KD5mKrp0Vvzr7lt3OU09vwQwhkpOPPYv2Y/edit?usp=sharing"",""งบพรบ!AJ18"")"),344856.76)</f>
        <v>344856.76</v>
      </c>
      <c r="O64" s="47">
        <f ca="1">IF(L64&gt;0,N64*100/L64,0)</f>
        <v>53.624126885398852</v>
      </c>
      <c r="P64" s="47">
        <f ca="1">IF(M64&gt;0,N64*100/M64,0)</f>
        <v>63.405607751567409</v>
      </c>
    </row>
    <row r="65" spans="1:16" ht="18.75" x14ac:dyDescent="0.25">
      <c r="A65" s="40"/>
      <c r="B65" s="41"/>
      <c r="C65" s="41"/>
      <c r="D65" s="42" t="s">
        <v>21</v>
      </c>
      <c r="E65" s="41"/>
      <c r="F65" s="41"/>
      <c r="G65" s="43"/>
      <c r="H65" s="44" t="s">
        <v>12</v>
      </c>
      <c r="I65" s="45"/>
      <c r="J65" s="45"/>
      <c r="K65" s="46"/>
      <c r="L65" s="47">
        <f ca="1">L66+L67</f>
        <v>0</v>
      </c>
      <c r="M65" s="47">
        <f ca="1">M66+M67</f>
        <v>0</v>
      </c>
      <c r="N65" s="47">
        <f ca="1">N66+N67</f>
        <v>0</v>
      </c>
      <c r="O65" s="47">
        <f ca="1">IF(L65&gt;0,N65*100/L65,0)</f>
        <v>0</v>
      </c>
      <c r="P65" s="47">
        <f ca="1">IF(M65&gt;0,N65*100/M65,0)</f>
        <v>0</v>
      </c>
    </row>
    <row r="66" spans="1:16" ht="18.75" hidden="1" x14ac:dyDescent="0.25">
      <c r="A66" s="40"/>
      <c r="B66" s="41"/>
      <c r="C66" s="41"/>
      <c r="D66" s="41"/>
      <c r="E66" s="279" t="s">
        <v>18</v>
      </c>
      <c r="F66" s="41"/>
      <c r="G66" s="43"/>
      <c r="H66" s="49" t="s">
        <v>12</v>
      </c>
      <c r="I66" s="45"/>
      <c r="J66" s="45"/>
      <c r="K66" s="46"/>
      <c r="L66" s="50">
        <v>0</v>
      </c>
      <c r="M66" s="50">
        <v>0</v>
      </c>
      <c r="N66" s="50">
        <v>0</v>
      </c>
      <c r="O66" s="50">
        <f>IF(L66&gt;0,N66*100/L66,0)</f>
        <v>0</v>
      </c>
      <c r="P66" s="50">
        <f>IF(M66&gt;0,N66*100/M66,0)</f>
        <v>0</v>
      </c>
    </row>
    <row r="67" spans="1:16" ht="18.75" x14ac:dyDescent="0.25">
      <c r="A67" s="52"/>
      <c r="B67" s="1"/>
      <c r="C67" s="1"/>
      <c r="D67" s="1"/>
      <c r="E67" s="53" t="s">
        <v>19</v>
      </c>
      <c r="F67" s="1"/>
      <c r="G67" s="54"/>
      <c r="H67" s="55" t="s">
        <v>12</v>
      </c>
      <c r="I67" s="56"/>
      <c r="J67" s="56"/>
      <c r="K67" s="57"/>
      <c r="L67" s="58">
        <f ca="1">IFERROR(__xludf.DUMMYFUNCTION("IMPORTRANGE(""https://docs.google.com/spreadsheets/d/1-uDff_7J0KD5mKrp0Vvzr7lt3OU09vwQwhkpOPPYv2Y/edit?usp=sharing"",""งบพรบ!AF18"")"),0)</f>
        <v>0</v>
      </c>
      <c r="M67" s="58">
        <f ca="1">IFERROR(__xludf.DUMMYFUNCTION("IMPORTRANGE(""https://docs.google.com/spreadsheets/d/1-uDff_7J0KD5mKrp0Vvzr7lt3OU09vwQwhkpOPPYv2Y/edit?usp=sharing"",""งบพรบ!AI18"")"),0)</f>
        <v>0</v>
      </c>
      <c r="N67" s="58">
        <f ca="1">IFERROR(__xludf.DUMMYFUNCTION("IMPORTRANGE(""https://docs.google.com/spreadsheets/d/1-uDff_7J0KD5mKrp0Vvzr7lt3OU09vwQwhkpOPPYv2Y/edit?usp=sharing"",""งบพรบ!AK18"")"),0)</f>
        <v>0</v>
      </c>
      <c r="O67" s="58">
        <f ca="1">IF(L67&gt;0,N67*100/L67,0)</f>
        <v>0</v>
      </c>
      <c r="P67" s="58">
        <f ca="1">IF(M67&gt;0,N67*100/M67,0)</f>
        <v>0</v>
      </c>
    </row>
    <row r="68" spans="1:16" ht="19.5" hidden="1" x14ac:dyDescent="0.3">
      <c r="A68" s="119" t="s">
        <v>29</v>
      </c>
      <c r="B68" s="120"/>
      <c r="C68" s="120"/>
      <c r="D68" s="120"/>
      <c r="E68" s="121"/>
      <c r="F68" s="121"/>
      <c r="G68" s="121"/>
      <c r="H68" s="121"/>
      <c r="I68" s="122"/>
      <c r="J68" s="122"/>
      <c r="K68" s="123"/>
      <c r="L68" s="123"/>
      <c r="M68" s="123"/>
      <c r="N68" s="123"/>
      <c r="O68" s="123"/>
      <c r="P68" s="124"/>
    </row>
    <row r="69" spans="1:16" ht="19.5" hidden="1" x14ac:dyDescent="0.3">
      <c r="A69" s="125" t="s">
        <v>30</v>
      </c>
      <c r="B69" s="126"/>
      <c r="C69" s="127"/>
      <c r="D69" s="126"/>
      <c r="E69" s="126"/>
      <c r="F69" s="126"/>
      <c r="G69" s="128"/>
      <c r="H69" s="128"/>
      <c r="I69" s="129"/>
      <c r="J69" s="129"/>
      <c r="K69" s="130"/>
      <c r="L69" s="130"/>
      <c r="M69" s="130"/>
      <c r="N69" s="130"/>
      <c r="O69" s="130"/>
      <c r="P69" s="130"/>
    </row>
    <row r="70" spans="1:16" ht="19.5" hidden="1" x14ac:dyDescent="0.3">
      <c r="A70" s="131"/>
      <c r="B70" s="132" t="s">
        <v>31</v>
      </c>
      <c r="C70" s="26"/>
      <c r="D70" s="133"/>
      <c r="E70" s="26"/>
      <c r="F70" s="26"/>
      <c r="G70" s="29"/>
      <c r="H70" s="134" t="s">
        <v>32</v>
      </c>
      <c r="I70" s="135">
        <f ca="1">I82</f>
        <v>0</v>
      </c>
      <c r="J70" s="135">
        <f>J82</f>
        <v>0</v>
      </c>
      <c r="K70" s="33">
        <f ca="1">IF(I70&gt;0,J70*100/I70,0)</f>
        <v>0</v>
      </c>
      <c r="L70" s="32"/>
      <c r="M70" s="32"/>
      <c r="N70" s="32"/>
      <c r="O70" s="32"/>
      <c r="P70" s="32"/>
    </row>
    <row r="71" spans="1:16" ht="19.5" hidden="1" x14ac:dyDescent="0.3">
      <c r="A71" s="131"/>
      <c r="B71" s="26"/>
      <c r="C71" s="26"/>
      <c r="D71" s="133"/>
      <c r="E71" s="26"/>
      <c r="F71" s="26"/>
      <c r="G71" s="29"/>
      <c r="H71" s="134" t="s">
        <v>33</v>
      </c>
      <c r="I71" s="135">
        <f ca="1">I83</f>
        <v>0</v>
      </c>
      <c r="J71" s="135">
        <f>J83</f>
        <v>0</v>
      </c>
      <c r="K71" s="33">
        <f ca="1">IF(I71&gt;0,J71*100/I71,0)</f>
        <v>0</v>
      </c>
      <c r="L71" s="32"/>
      <c r="M71" s="32"/>
      <c r="N71" s="32"/>
      <c r="O71" s="32"/>
      <c r="P71" s="32"/>
    </row>
    <row r="72" spans="1:16" ht="19.5" hidden="1" x14ac:dyDescent="0.3">
      <c r="A72" s="136"/>
      <c r="B72" s="41"/>
      <c r="C72" s="197" t="s">
        <v>16</v>
      </c>
      <c r="D72" s="397" t="s">
        <v>17</v>
      </c>
      <c r="E72" s="41"/>
      <c r="F72" s="41"/>
      <c r="G72" s="43"/>
      <c r="H72" s="139" t="s">
        <v>12</v>
      </c>
      <c r="I72" s="45"/>
      <c r="J72" s="45"/>
      <c r="K72" s="46"/>
      <c r="L72" s="140">
        <f ca="1">L73+L74</f>
        <v>0</v>
      </c>
      <c r="M72" s="140">
        <f ca="1">M73+M74</f>
        <v>0</v>
      </c>
      <c r="N72" s="140">
        <f ca="1">N73+N74</f>
        <v>0</v>
      </c>
      <c r="O72" s="140">
        <f ca="1">IF(L72&gt;0,N72*100/L72,0)</f>
        <v>0</v>
      </c>
      <c r="P72" s="140">
        <f ca="1">IF(M72&gt;0,N72*100/M72,0)</f>
        <v>0</v>
      </c>
    </row>
    <row r="73" spans="1:16" ht="18.75" hidden="1" x14ac:dyDescent="0.25">
      <c r="A73" s="136"/>
      <c r="B73" s="41"/>
      <c r="C73" s="41"/>
      <c r="D73" s="41"/>
      <c r="E73" s="279" t="s">
        <v>18</v>
      </c>
      <c r="F73" s="41"/>
      <c r="G73" s="43"/>
      <c r="H73" s="141" t="s">
        <v>12</v>
      </c>
      <c r="I73" s="45"/>
      <c r="J73" s="45"/>
      <c r="K73" s="46"/>
      <c r="L73" s="50">
        <f>L76+L79</f>
        <v>0</v>
      </c>
      <c r="M73" s="50">
        <f>M76+M79</f>
        <v>0</v>
      </c>
      <c r="N73" s="50">
        <f>N76+N79</f>
        <v>0</v>
      </c>
      <c r="O73" s="50">
        <f>IF(L73&gt;0,N73*100/L73,0)</f>
        <v>0</v>
      </c>
      <c r="P73" s="50">
        <f>IF(M73&gt;0,N73*100/M73,0)</f>
        <v>0</v>
      </c>
    </row>
    <row r="74" spans="1:16" ht="18.75" hidden="1" x14ac:dyDescent="0.25">
      <c r="A74" s="136"/>
      <c r="B74" s="41"/>
      <c r="C74" s="41"/>
      <c r="D74" s="41"/>
      <c r="E74" s="254" t="s">
        <v>19</v>
      </c>
      <c r="F74" s="41"/>
      <c r="G74" s="43"/>
      <c r="H74" s="142" t="s">
        <v>12</v>
      </c>
      <c r="I74" s="45"/>
      <c r="J74" s="45"/>
      <c r="K74" s="46"/>
      <c r="L74" s="47">
        <f ca="1">L77+L80</f>
        <v>0</v>
      </c>
      <c r="M74" s="47">
        <f ca="1">M77+M80</f>
        <v>0</v>
      </c>
      <c r="N74" s="47">
        <f ca="1">N77+N80</f>
        <v>0</v>
      </c>
      <c r="O74" s="47">
        <f ca="1">IF(L74&gt;0,N74*100/L74,0)</f>
        <v>0</v>
      </c>
      <c r="P74" s="47">
        <f ca="1">IF(M74&gt;0,N74*100/M74,0)</f>
        <v>0</v>
      </c>
    </row>
    <row r="75" spans="1:16" ht="18.75" hidden="1" x14ac:dyDescent="0.25">
      <c r="A75" s="136"/>
      <c r="B75" s="41"/>
      <c r="C75" s="41"/>
      <c r="D75" s="42" t="s">
        <v>20</v>
      </c>
      <c r="E75" s="41"/>
      <c r="F75" s="41"/>
      <c r="G75" s="43"/>
      <c r="H75" s="143" t="s">
        <v>12</v>
      </c>
      <c r="I75" s="144"/>
      <c r="J75" s="144"/>
      <c r="K75" s="145"/>
      <c r="L75" s="47">
        <f ca="1">L76+L77</f>
        <v>0</v>
      </c>
      <c r="M75" s="47">
        <f ca="1">M76+M77</f>
        <v>0</v>
      </c>
      <c r="N75" s="47">
        <f ca="1">N76+N77</f>
        <v>0</v>
      </c>
      <c r="O75" s="47">
        <f ca="1">IF(L75&gt;0,N75*100/L75,0)</f>
        <v>0</v>
      </c>
      <c r="P75" s="47">
        <f ca="1">IF(M75&gt;0,N75*100/M75,0)</f>
        <v>0</v>
      </c>
    </row>
    <row r="76" spans="1:16" ht="18.75" hidden="1" x14ac:dyDescent="0.25">
      <c r="A76" s="136"/>
      <c r="B76" s="41"/>
      <c r="C76" s="41"/>
      <c r="D76" s="41"/>
      <c r="E76" s="279" t="s">
        <v>34</v>
      </c>
      <c r="F76" s="41"/>
      <c r="G76" s="43"/>
      <c r="H76" s="146" t="s">
        <v>12</v>
      </c>
      <c r="I76" s="144"/>
      <c r="J76" s="144"/>
      <c r="K76" s="145"/>
      <c r="L76" s="50">
        <v>0</v>
      </c>
      <c r="M76" s="50">
        <v>0</v>
      </c>
      <c r="N76" s="50">
        <v>0</v>
      </c>
      <c r="O76" s="50">
        <f>IF(L76&gt;0,N76*100/L76,0)</f>
        <v>0</v>
      </c>
      <c r="P76" s="50">
        <f>IF(M76&gt;0,N76*100/M76,0)</f>
        <v>0</v>
      </c>
    </row>
    <row r="77" spans="1:16" ht="18.75" hidden="1" x14ac:dyDescent="0.25">
      <c r="A77" s="136"/>
      <c r="B77" s="41"/>
      <c r="C77" s="41"/>
      <c r="D77" s="41"/>
      <c r="E77" s="254" t="s">
        <v>35</v>
      </c>
      <c r="F77" s="41"/>
      <c r="G77" s="43"/>
      <c r="H77" s="143" t="s">
        <v>12</v>
      </c>
      <c r="I77" s="144"/>
      <c r="J77" s="144"/>
      <c r="K77" s="145"/>
      <c r="L77" s="47">
        <f ca="1">IFERROR(__xludf.DUMMYFUNCTION("IMPORTRANGE(""https://docs.google.com/spreadsheets/d/1-uDff_7J0KD5mKrp0Vvzr7lt3OU09vwQwhkpOPPYv2Y/edit?usp=sharing"",""งบพรบ!AM18"")"),0)</f>
        <v>0</v>
      </c>
      <c r="M77" s="47">
        <f ca="1">IFERROR(__xludf.DUMMYFUNCTION("IMPORTRANGE(""https://docs.google.com/spreadsheets/d/1-uDff_7J0KD5mKrp0Vvzr7lt3OU09vwQwhkpOPPYv2Y/edit?usp=sharing"",""งบพรบ!AR18"")"),0)</f>
        <v>0</v>
      </c>
      <c r="N77" s="47">
        <f ca="1">IFERROR(__xludf.DUMMYFUNCTION("IMPORTRANGE(""https://docs.google.com/spreadsheets/d/1-uDff_7J0KD5mKrp0Vvzr7lt3OU09vwQwhkpOPPYv2Y/edit?usp=sharing"",""งบพรบ!AT18"")"),0)</f>
        <v>0</v>
      </c>
      <c r="O77" s="47">
        <f ca="1">IF(L77&gt;0,N77*100/L77,0)</f>
        <v>0</v>
      </c>
      <c r="P77" s="47">
        <f ca="1">IF(M77&gt;0,N77*100/M77,0)</f>
        <v>0</v>
      </c>
    </row>
    <row r="78" spans="1:16" ht="18.75" hidden="1" x14ac:dyDescent="0.25">
      <c r="A78" s="136"/>
      <c r="B78" s="41"/>
      <c r="C78" s="41"/>
      <c r="D78" s="42" t="s">
        <v>21</v>
      </c>
      <c r="E78" s="41"/>
      <c r="F78" s="41"/>
      <c r="G78" s="43"/>
      <c r="H78" s="147" t="s">
        <v>12</v>
      </c>
      <c r="I78" s="144"/>
      <c r="J78" s="144"/>
      <c r="K78" s="145"/>
      <c r="L78" s="47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</row>
    <row r="79" spans="1:16" ht="18.75" hidden="1" x14ac:dyDescent="0.25">
      <c r="A79" s="136"/>
      <c r="B79" s="41"/>
      <c r="C79" s="41"/>
      <c r="D79" s="41"/>
      <c r="E79" s="279" t="s">
        <v>18</v>
      </c>
      <c r="F79" s="41"/>
      <c r="G79" s="43"/>
      <c r="H79" s="146" t="s">
        <v>12</v>
      </c>
      <c r="I79" s="144"/>
      <c r="J79" s="144"/>
      <c r="K79" s="145"/>
      <c r="L79" s="50">
        <v>0</v>
      </c>
      <c r="M79" s="46"/>
      <c r="N79" s="46"/>
      <c r="O79" s="50">
        <f>IF(L79&gt;0,N79*100/L79,0)</f>
        <v>0</v>
      </c>
      <c r="P79" s="50">
        <f>IF(M79&gt;0,N79*100/M79,0)</f>
        <v>0</v>
      </c>
    </row>
    <row r="80" spans="1:16" ht="18.75" hidden="1" x14ac:dyDescent="0.25">
      <c r="A80" s="136"/>
      <c r="B80" s="41"/>
      <c r="C80" s="41"/>
      <c r="D80" s="41"/>
      <c r="E80" s="254" t="s">
        <v>19</v>
      </c>
      <c r="F80" s="41"/>
      <c r="G80" s="43"/>
      <c r="H80" s="147" t="s">
        <v>12</v>
      </c>
      <c r="I80" s="144"/>
      <c r="J80" s="144"/>
      <c r="K80" s="145"/>
      <c r="L80" s="47">
        <f ca="1">IFERROR(__xludf.DUMMYFUNCTION("IMPORTRANGE(""https://docs.google.com/spreadsheets/d/1-uDff_7J0KD5mKrp0Vvzr7lt3OU09vwQwhkpOPPYv2Y/edit?usp=sharing"",""งบพรบ!AP18"")"),0)</f>
        <v>0</v>
      </c>
      <c r="M80" s="47">
        <f ca="1">IFERROR(__xludf.DUMMYFUNCTION("IMPORTRANGE(""https://docs.google.com/spreadsheets/d/1-uDff_7J0KD5mKrp0Vvzr7lt3OU09vwQwhkpOPPYv2Y/edit?usp=sharing"",""งบพรบ!AS18"")"),0)</f>
        <v>0</v>
      </c>
      <c r="N80" s="47">
        <f ca="1">IFERROR(__xludf.DUMMYFUNCTION("IMPORTRANGE(""https://docs.google.com/spreadsheets/d/1-uDff_7J0KD5mKrp0Vvzr7lt3OU09vwQwhkpOPPYv2Y/edit?usp=sharing"",""งบพรบ!AU18"")"),0)</f>
        <v>0</v>
      </c>
      <c r="O80" s="47">
        <f ca="1">IF(L80&gt;0,N80*100/L80,0)</f>
        <v>0</v>
      </c>
      <c r="P80" s="47">
        <f ca="1">IF(M80&gt;0,N80*100/M80,0)</f>
        <v>0</v>
      </c>
    </row>
    <row r="81" spans="1:16" ht="19.5" hidden="1" x14ac:dyDescent="0.3">
      <c r="A81" s="148"/>
      <c r="B81" s="149"/>
      <c r="C81" s="197" t="s">
        <v>16</v>
      </c>
      <c r="D81" s="395" t="s">
        <v>36</v>
      </c>
      <c r="E81" s="151"/>
      <c r="F81" s="151"/>
      <c r="G81" s="152"/>
      <c r="H81" s="153"/>
      <c r="I81" s="144"/>
      <c r="J81" s="144"/>
      <c r="K81" s="145"/>
      <c r="L81" s="145"/>
      <c r="M81" s="145"/>
      <c r="N81" s="145"/>
      <c r="O81" s="145"/>
      <c r="P81" s="145"/>
    </row>
    <row r="82" spans="1:16" ht="19.5" hidden="1" x14ac:dyDescent="0.3">
      <c r="A82" s="148"/>
      <c r="B82" s="149"/>
      <c r="C82" s="149"/>
      <c r="D82" s="154" t="s">
        <v>37</v>
      </c>
      <c r="E82" s="155"/>
      <c r="F82" s="155"/>
      <c r="G82" s="153"/>
      <c r="H82" s="156" t="s">
        <v>32</v>
      </c>
      <c r="I82" s="157">
        <f ca="1">I84+I86+I88</f>
        <v>0</v>
      </c>
      <c r="J82" s="157">
        <f>J84+J86+J88</f>
        <v>0</v>
      </c>
      <c r="K82" s="158">
        <f ca="1">IF(I82&gt;0,J82*100/I82,0)</f>
        <v>0</v>
      </c>
      <c r="L82" s="145"/>
      <c r="M82" s="145"/>
      <c r="N82" s="145"/>
      <c r="O82" s="145"/>
      <c r="P82" s="145"/>
    </row>
    <row r="83" spans="1:16" ht="19.5" hidden="1" x14ac:dyDescent="0.3">
      <c r="A83" s="148"/>
      <c r="B83" s="149"/>
      <c r="C83" s="149"/>
      <c r="D83" s="149"/>
      <c r="E83" s="155"/>
      <c r="F83" s="155"/>
      <c r="G83" s="153"/>
      <c r="H83" s="156" t="s">
        <v>33</v>
      </c>
      <c r="I83" s="157">
        <f ca="1">I85+I87+I89</f>
        <v>0</v>
      </c>
      <c r="J83" s="157">
        <f>J85+J87+J89</f>
        <v>0</v>
      </c>
      <c r="K83" s="158">
        <f ca="1">IF(I83&gt;0,J83*100/I83,0)</f>
        <v>0</v>
      </c>
      <c r="L83" s="145"/>
      <c r="M83" s="145"/>
      <c r="N83" s="145"/>
      <c r="O83" s="145"/>
      <c r="P83" s="145"/>
    </row>
    <row r="84" spans="1:16" ht="18.75" hidden="1" x14ac:dyDescent="0.25">
      <c r="A84" s="148"/>
      <c r="B84" s="149"/>
      <c r="C84" s="149"/>
      <c r="D84" s="149"/>
      <c r="E84" s="159" t="s">
        <v>38</v>
      </c>
      <c r="F84" s="155"/>
      <c r="G84" s="153"/>
      <c r="H84" s="251" t="s">
        <v>32</v>
      </c>
      <c r="I84" s="161">
        <f ca="1">IFERROR(__xludf.DUMMYFUNCTION("IMPORTRANGE(""https://docs.google.com/spreadsheets/d/1eHaY18a8A9IcSdp1K8H6x8fbOy06t2VsZHhMHf-1x7Y/edit?usp=sharing"",""แผน!H18"")"),0)</f>
        <v>0</v>
      </c>
      <c r="J84" s="250">
        <v>0</v>
      </c>
      <c r="K84" s="163">
        <f ca="1">IF(I84&gt;0,J84*100/I84,0)</f>
        <v>0</v>
      </c>
      <c r="L84" s="145"/>
      <c r="M84" s="145"/>
      <c r="N84" s="145"/>
      <c r="O84" s="145"/>
      <c r="P84" s="145"/>
    </row>
    <row r="85" spans="1:16" ht="18.75" hidden="1" x14ac:dyDescent="0.25">
      <c r="A85" s="148"/>
      <c r="B85" s="149"/>
      <c r="C85" s="149"/>
      <c r="D85" s="149"/>
      <c r="E85" s="155"/>
      <c r="F85" s="155"/>
      <c r="G85" s="153"/>
      <c r="H85" s="251" t="s">
        <v>33</v>
      </c>
      <c r="I85" s="161">
        <f ca="1">IFERROR(__xludf.DUMMYFUNCTION("IMPORTRANGE(""https://docs.google.com/spreadsheets/d/1eHaY18a8A9IcSdp1K8H6x8fbOy06t2VsZHhMHf-1x7Y/edit?usp=sharing"",""แผน!I18"")"),0)</f>
        <v>0</v>
      </c>
      <c r="J85" s="250">
        <v>0</v>
      </c>
      <c r="K85" s="163">
        <f ca="1">IF(I85&gt;0,J85*100/I85,0)</f>
        <v>0</v>
      </c>
      <c r="L85" s="145"/>
      <c r="M85" s="145"/>
      <c r="N85" s="145"/>
      <c r="O85" s="145"/>
      <c r="P85" s="145"/>
    </row>
    <row r="86" spans="1:16" ht="18.75" hidden="1" x14ac:dyDescent="0.25">
      <c r="A86" s="148"/>
      <c r="B86" s="149"/>
      <c r="C86" s="149"/>
      <c r="D86" s="149"/>
      <c r="E86" s="159" t="s">
        <v>39</v>
      </c>
      <c r="F86" s="155"/>
      <c r="G86" s="153"/>
      <c r="H86" s="251" t="s">
        <v>32</v>
      </c>
      <c r="I86" s="161">
        <f ca="1">IFERROR(__xludf.DUMMYFUNCTION("IMPORTRANGE(""https://docs.google.com/spreadsheets/d/1eHaY18a8A9IcSdp1K8H6x8fbOy06t2VsZHhMHf-1x7Y/edit?usp=sharing"",""แผน!F18"")"),0)</f>
        <v>0</v>
      </c>
      <c r="J86" s="250">
        <v>0</v>
      </c>
      <c r="K86" s="163">
        <f ca="1">IF(I86&gt;0,J86*100/I86,0)</f>
        <v>0</v>
      </c>
      <c r="L86" s="145"/>
      <c r="M86" s="145"/>
      <c r="N86" s="145"/>
      <c r="O86" s="145"/>
      <c r="P86" s="145"/>
    </row>
    <row r="87" spans="1:16" ht="18.75" hidden="1" x14ac:dyDescent="0.25">
      <c r="A87" s="148"/>
      <c r="B87" s="149"/>
      <c r="C87" s="149"/>
      <c r="D87" s="149"/>
      <c r="E87" s="155"/>
      <c r="F87" s="155"/>
      <c r="G87" s="153"/>
      <c r="H87" s="251" t="s">
        <v>33</v>
      </c>
      <c r="I87" s="161">
        <f ca="1">IFERROR(__xludf.DUMMYFUNCTION("IMPORTRANGE(""https://docs.google.com/spreadsheets/d/1eHaY18a8A9IcSdp1K8H6x8fbOy06t2VsZHhMHf-1x7Y/edit?usp=sharing"",""แผน!G18"")"),0)</f>
        <v>0</v>
      </c>
      <c r="J87" s="250">
        <v>0</v>
      </c>
      <c r="K87" s="163">
        <f ca="1">IF(I87&gt;0,J87*100/I87,0)</f>
        <v>0</v>
      </c>
      <c r="L87" s="145"/>
      <c r="M87" s="145"/>
      <c r="N87" s="145"/>
      <c r="O87" s="145"/>
      <c r="P87" s="145"/>
    </row>
    <row r="88" spans="1:16" ht="18.75" hidden="1" x14ac:dyDescent="0.25">
      <c r="A88" s="148"/>
      <c r="B88" s="149"/>
      <c r="C88" s="149"/>
      <c r="D88" s="149"/>
      <c r="E88" s="159" t="s">
        <v>40</v>
      </c>
      <c r="F88" s="155"/>
      <c r="G88" s="153"/>
      <c r="H88" s="251" t="s">
        <v>32</v>
      </c>
      <c r="I88" s="161">
        <f ca="1">IFERROR(__xludf.DUMMYFUNCTION("IMPORTRANGE(""https://docs.google.com/spreadsheets/d/1eHaY18a8A9IcSdp1K8H6x8fbOy06t2VsZHhMHf-1x7Y/edit?usp=sharing"",""แผน!D18"")"),0)</f>
        <v>0</v>
      </c>
      <c r="J88" s="250">
        <v>0</v>
      </c>
      <c r="K88" s="163">
        <f ca="1">IF(I88&gt;0,J88*100/I88,0)</f>
        <v>0</v>
      </c>
      <c r="L88" s="145"/>
      <c r="M88" s="145"/>
      <c r="N88" s="145"/>
      <c r="O88" s="145"/>
      <c r="P88" s="145"/>
    </row>
    <row r="89" spans="1:16" ht="18.75" hidden="1" x14ac:dyDescent="0.25">
      <c r="A89" s="148"/>
      <c r="B89" s="149"/>
      <c r="C89" s="149"/>
      <c r="D89" s="149"/>
      <c r="E89" s="155"/>
      <c r="F89" s="155"/>
      <c r="G89" s="153"/>
      <c r="H89" s="251" t="s">
        <v>33</v>
      </c>
      <c r="I89" s="161">
        <f ca="1">IFERROR(__xludf.DUMMYFUNCTION("IMPORTRANGE(""https://docs.google.com/spreadsheets/d/1eHaY18a8A9IcSdp1K8H6x8fbOy06t2VsZHhMHf-1x7Y/edit?usp=sharing"",""แผน!E18"")"),0)</f>
        <v>0</v>
      </c>
      <c r="J89" s="250">
        <v>0</v>
      </c>
      <c r="K89" s="163">
        <f ca="1">IF(I89&gt;0,J89*100/I89,0)</f>
        <v>0</v>
      </c>
      <c r="L89" s="145"/>
      <c r="M89" s="145"/>
      <c r="N89" s="145"/>
      <c r="O89" s="145"/>
      <c r="P89" s="145"/>
    </row>
    <row r="90" spans="1:16" ht="18.75" hidden="1" x14ac:dyDescent="0.25">
      <c r="A90" s="148"/>
      <c r="B90" s="149"/>
      <c r="C90" s="149"/>
      <c r="D90" s="154" t="s">
        <v>41</v>
      </c>
      <c r="E90" s="155"/>
      <c r="F90" s="155"/>
      <c r="G90" s="153"/>
      <c r="H90" s="164" t="s">
        <v>32</v>
      </c>
      <c r="I90" s="161">
        <f ca="1">IFERROR(__xludf.DUMMYFUNCTION("IMPORTRANGE(""https://docs.google.com/spreadsheets/d/1eHaY18a8A9IcSdp1K8H6x8fbOy06t2VsZHhMHf-1x7Y/edit?usp=sharing"",""แผน!J18"")"),0)</f>
        <v>0</v>
      </c>
      <c r="J90" s="250">
        <v>0</v>
      </c>
      <c r="K90" s="163">
        <f ca="1">IF(I90&gt;0,J90*100/I90,0)</f>
        <v>0</v>
      </c>
      <c r="L90" s="145"/>
      <c r="M90" s="145"/>
      <c r="N90" s="145"/>
      <c r="O90" s="145"/>
      <c r="P90" s="145"/>
    </row>
    <row r="91" spans="1:16" ht="19.5" hidden="1" x14ac:dyDescent="0.3">
      <c r="A91" s="125" t="s">
        <v>42</v>
      </c>
      <c r="B91" s="126"/>
      <c r="C91" s="127"/>
      <c r="D91" s="126"/>
      <c r="E91" s="126"/>
      <c r="F91" s="126"/>
      <c r="G91" s="128"/>
      <c r="H91" s="128"/>
      <c r="I91" s="129"/>
      <c r="J91" s="129"/>
      <c r="K91" s="130"/>
      <c r="L91" s="130"/>
      <c r="M91" s="130"/>
      <c r="N91" s="130"/>
      <c r="O91" s="130"/>
      <c r="P91" s="130"/>
    </row>
    <row r="92" spans="1:16" ht="19.5" hidden="1" x14ac:dyDescent="0.3">
      <c r="A92" s="131"/>
      <c r="B92" s="132" t="s">
        <v>43</v>
      </c>
      <c r="C92" s="26"/>
      <c r="D92" s="133"/>
      <c r="E92" s="26"/>
      <c r="F92" s="26"/>
      <c r="G92" s="29"/>
      <c r="H92" s="134" t="s">
        <v>44</v>
      </c>
      <c r="I92" s="135">
        <f ca="1">I108</f>
        <v>0</v>
      </c>
      <c r="J92" s="135">
        <f>J108</f>
        <v>0</v>
      </c>
      <c r="K92" s="33">
        <f ca="1">IF(I92&gt;0,J92*100/I92,0)</f>
        <v>0</v>
      </c>
      <c r="L92" s="32"/>
      <c r="M92" s="32"/>
      <c r="N92" s="32"/>
      <c r="O92" s="32"/>
      <c r="P92" s="32"/>
    </row>
    <row r="93" spans="1:16" ht="19.5" hidden="1" x14ac:dyDescent="0.3">
      <c r="A93" s="131"/>
      <c r="B93" s="26"/>
      <c r="C93" s="26"/>
      <c r="D93" s="133"/>
      <c r="E93" s="26"/>
      <c r="F93" s="26"/>
      <c r="G93" s="29"/>
      <c r="H93" s="134" t="s">
        <v>33</v>
      </c>
      <c r="I93" s="135">
        <f ca="1">I109</f>
        <v>0</v>
      </c>
      <c r="J93" s="135">
        <f>J109</f>
        <v>0</v>
      </c>
      <c r="K93" s="33">
        <f ca="1">IF(I93&gt;0,J93*100/I93,0)</f>
        <v>0</v>
      </c>
      <c r="L93" s="32"/>
      <c r="M93" s="32"/>
      <c r="N93" s="32"/>
      <c r="O93" s="32"/>
      <c r="P93" s="32"/>
    </row>
    <row r="94" spans="1:16" ht="19.5" hidden="1" x14ac:dyDescent="0.3">
      <c r="A94" s="136"/>
      <c r="B94" s="41"/>
      <c r="C94" s="197" t="s">
        <v>16</v>
      </c>
      <c r="D94" s="397" t="s">
        <v>17</v>
      </c>
      <c r="E94" s="41"/>
      <c r="F94" s="41"/>
      <c r="G94" s="43"/>
      <c r="H94" s="139" t="s">
        <v>12</v>
      </c>
      <c r="I94" s="45"/>
      <c r="J94" s="45"/>
      <c r="K94" s="46"/>
      <c r="L94" s="140">
        <f ca="1">L95+L96</f>
        <v>0</v>
      </c>
      <c r="M94" s="140">
        <f ca="1">M95+M96</f>
        <v>0</v>
      </c>
      <c r="N94" s="140">
        <f ca="1">N95+N96</f>
        <v>0</v>
      </c>
      <c r="O94" s="140">
        <f ca="1">IF(L94&gt;0,N94*100/L94,0)</f>
        <v>0</v>
      </c>
      <c r="P94" s="140">
        <f ca="1">IF(M94&gt;0,N94*100/M94,0)</f>
        <v>0</v>
      </c>
    </row>
    <row r="95" spans="1:16" ht="18.75" hidden="1" x14ac:dyDescent="0.25">
      <c r="A95" s="136"/>
      <c r="B95" s="41"/>
      <c r="C95" s="41"/>
      <c r="D95" s="41"/>
      <c r="E95" s="279" t="s">
        <v>18</v>
      </c>
      <c r="F95" s="41"/>
      <c r="G95" s="43"/>
      <c r="H95" s="141" t="s">
        <v>12</v>
      </c>
      <c r="I95" s="45"/>
      <c r="J95" s="45"/>
      <c r="K95" s="46"/>
      <c r="L95" s="50">
        <f>L98+L101</f>
        <v>0</v>
      </c>
      <c r="M95" s="50">
        <f>M98+M101</f>
        <v>0</v>
      </c>
      <c r="N95" s="50">
        <f>N98+N101</f>
        <v>0</v>
      </c>
      <c r="O95" s="50">
        <f>IF(L95&gt;0,N95*100/L95,0)</f>
        <v>0</v>
      </c>
      <c r="P95" s="50">
        <f>IF(M95&gt;0,N95*100/M95,0)</f>
        <v>0</v>
      </c>
    </row>
    <row r="96" spans="1:16" ht="18.75" hidden="1" x14ac:dyDescent="0.25">
      <c r="A96" s="136"/>
      <c r="B96" s="41"/>
      <c r="C96" s="41"/>
      <c r="D96" s="41"/>
      <c r="E96" s="254" t="s">
        <v>19</v>
      </c>
      <c r="F96" s="41"/>
      <c r="G96" s="43"/>
      <c r="H96" s="142" t="s">
        <v>12</v>
      </c>
      <c r="I96" s="45"/>
      <c r="J96" s="45"/>
      <c r="K96" s="46"/>
      <c r="L96" s="47">
        <f ca="1">L99+L102</f>
        <v>0</v>
      </c>
      <c r="M96" s="47">
        <f ca="1">M99+M102</f>
        <v>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</row>
    <row r="97" spans="1:16" ht="18.75" hidden="1" x14ac:dyDescent="0.25">
      <c r="A97" s="136"/>
      <c r="B97" s="41"/>
      <c r="C97" s="41"/>
      <c r="D97" s="42" t="s">
        <v>20</v>
      </c>
      <c r="E97" s="41"/>
      <c r="F97" s="41"/>
      <c r="G97" s="43"/>
      <c r="H97" s="143" t="s">
        <v>12</v>
      </c>
      <c r="I97" s="144"/>
      <c r="J97" s="144"/>
      <c r="K97" s="145"/>
      <c r="L97" s="47">
        <f ca="1">L98+L99</f>
        <v>0</v>
      </c>
      <c r="M97" s="47">
        <f ca="1">M98+M99</f>
        <v>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</row>
    <row r="98" spans="1:16" ht="18.75" hidden="1" x14ac:dyDescent="0.25">
      <c r="A98" s="136"/>
      <c r="B98" s="41"/>
      <c r="C98" s="41"/>
      <c r="D98" s="41"/>
      <c r="E98" s="279" t="s">
        <v>34</v>
      </c>
      <c r="F98" s="41"/>
      <c r="G98" s="43"/>
      <c r="H98" s="146" t="s">
        <v>12</v>
      </c>
      <c r="I98" s="144"/>
      <c r="J98" s="144"/>
      <c r="K98" s="145"/>
      <c r="L98" s="50">
        <v>0</v>
      </c>
      <c r="M98" s="50">
        <v>0</v>
      </c>
      <c r="N98" s="50">
        <v>0</v>
      </c>
      <c r="O98" s="50">
        <f>IF(L98&gt;0,N98*100/L98,0)</f>
        <v>0</v>
      </c>
      <c r="P98" s="50">
        <f>IF(M98&gt;0,N98*100/M98,0)</f>
        <v>0</v>
      </c>
    </row>
    <row r="99" spans="1:16" ht="18.75" hidden="1" x14ac:dyDescent="0.25">
      <c r="A99" s="136"/>
      <c r="B99" s="41"/>
      <c r="C99" s="41"/>
      <c r="D99" s="41"/>
      <c r="E99" s="254" t="s">
        <v>35</v>
      </c>
      <c r="F99" s="41"/>
      <c r="G99" s="43"/>
      <c r="H99" s="143" t="s">
        <v>12</v>
      </c>
      <c r="I99" s="144"/>
      <c r="J99" s="144"/>
      <c r="K99" s="145"/>
      <c r="L99" s="47">
        <f ca="1">IFERROR(__xludf.DUMMYFUNCTION("IMPORTRANGE(""https://docs.google.com/spreadsheets/d/1-uDff_7J0KD5mKrp0Vvzr7lt3OU09vwQwhkpOPPYv2Y/edit?usp=sharing"",""งบพรบ!AW18"")"),0)</f>
        <v>0</v>
      </c>
      <c r="M99" s="47">
        <f ca="1">IFERROR(__xludf.DUMMYFUNCTION("IMPORTRANGE(""https://docs.google.com/spreadsheets/d/1-uDff_7J0KD5mKrp0Vvzr7lt3OU09vwQwhkpOPPYv2Y/edit?usp=sharing"",""งบพรบ!BB18"")"),0)</f>
        <v>0</v>
      </c>
      <c r="N99" s="47">
        <f ca="1">IFERROR(__xludf.DUMMYFUNCTION("IMPORTRANGE(""https://docs.google.com/spreadsheets/d/1-uDff_7J0KD5mKrp0Vvzr7lt3OU09vwQwhkpOPPYv2Y/edit?usp=sharing"",""งบพรบ!BD18"")"),0)</f>
        <v>0</v>
      </c>
      <c r="O99" s="47">
        <f ca="1">IF(L99&gt;0,N99*100/L99,0)</f>
        <v>0</v>
      </c>
      <c r="P99" s="47">
        <f ca="1">IF(M99&gt;0,N99*100/M99,0)</f>
        <v>0</v>
      </c>
    </row>
    <row r="100" spans="1:16" ht="18.75" hidden="1" x14ac:dyDescent="0.25">
      <c r="A100" s="136"/>
      <c r="B100" s="41"/>
      <c r="C100" s="41"/>
      <c r="D100" s="42" t="s">
        <v>21</v>
      </c>
      <c r="E100" s="41"/>
      <c r="F100" s="41"/>
      <c r="G100" s="43"/>
      <c r="H100" s="147" t="s">
        <v>12</v>
      </c>
      <c r="I100" s="144"/>
      <c r="J100" s="144"/>
      <c r="K100" s="145"/>
      <c r="L100" s="47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</row>
    <row r="101" spans="1:16" ht="18.75" hidden="1" x14ac:dyDescent="0.25">
      <c r="A101" s="136"/>
      <c r="B101" s="41"/>
      <c r="C101" s="41"/>
      <c r="D101" s="41"/>
      <c r="E101" s="279" t="s">
        <v>18</v>
      </c>
      <c r="F101" s="41"/>
      <c r="G101" s="43"/>
      <c r="H101" s="146" t="s">
        <v>12</v>
      </c>
      <c r="I101" s="144"/>
      <c r="J101" s="144"/>
      <c r="K101" s="145"/>
      <c r="L101" s="50">
        <v>0</v>
      </c>
      <c r="M101" s="50">
        <v>0</v>
      </c>
      <c r="N101" s="50">
        <v>0</v>
      </c>
      <c r="O101" s="50">
        <f>IF(L101&gt;0,N101*100/L101,0)</f>
        <v>0</v>
      </c>
      <c r="P101" s="50">
        <f>IF(M101&gt;0,N101*100/M101,0)</f>
        <v>0</v>
      </c>
    </row>
    <row r="102" spans="1:16" ht="18.75" hidden="1" x14ac:dyDescent="0.25">
      <c r="A102" s="136"/>
      <c r="B102" s="41"/>
      <c r="C102" s="41"/>
      <c r="D102" s="41"/>
      <c r="E102" s="254" t="s">
        <v>19</v>
      </c>
      <c r="F102" s="41"/>
      <c r="G102" s="43"/>
      <c r="H102" s="147" t="s">
        <v>12</v>
      </c>
      <c r="I102" s="144"/>
      <c r="J102" s="144"/>
      <c r="K102" s="145"/>
      <c r="L102" s="47">
        <f ca="1">IFERROR(__xludf.DUMMYFUNCTION("IMPORTRANGE(""https://docs.google.com/spreadsheets/d/1-uDff_7J0KD5mKrp0Vvzr7lt3OU09vwQwhkpOPPYv2Y/edit?usp=sharing"",""งบพรบ!AZ18"")"),0)</f>
        <v>0</v>
      </c>
      <c r="M102" s="47">
        <f ca="1">IFERROR(__xludf.DUMMYFUNCTION("IMPORTRANGE(""https://docs.google.com/spreadsheets/d/1-uDff_7J0KD5mKrp0Vvzr7lt3OU09vwQwhkpOPPYv2Y/edit?usp=sharing"",""งบพรบ!BC18"")"),0)</f>
        <v>0</v>
      </c>
      <c r="N102" s="47">
        <f ca="1">IFERROR(__xludf.DUMMYFUNCTION("IMPORTRANGE(""https://docs.google.com/spreadsheets/d/1-uDff_7J0KD5mKrp0Vvzr7lt3OU09vwQwhkpOPPYv2Y/edit?usp=sharing"",""งบพรบ!BE18"")"),0)</f>
        <v>0</v>
      </c>
      <c r="O102" s="47">
        <f ca="1">IF(L102&gt;0,N102*100/L102,0)</f>
        <v>0</v>
      </c>
      <c r="P102" s="47">
        <f ca="1">IF(M102&gt;0,N102*100/M102,0)</f>
        <v>0</v>
      </c>
    </row>
    <row r="103" spans="1:16" ht="19.5" hidden="1" x14ac:dyDescent="0.3">
      <c r="A103" s="148"/>
      <c r="B103" s="149"/>
      <c r="C103" s="197" t="s">
        <v>16</v>
      </c>
      <c r="D103" s="395" t="s">
        <v>36</v>
      </c>
      <c r="E103" s="151"/>
      <c r="F103" s="151"/>
      <c r="G103" s="152"/>
      <c r="H103" s="153"/>
      <c r="I103" s="144"/>
      <c r="J103" s="45"/>
      <c r="K103" s="46"/>
      <c r="L103" s="46"/>
      <c r="M103" s="46"/>
      <c r="N103" s="46"/>
      <c r="O103" s="145"/>
      <c r="P103" s="145"/>
    </row>
    <row r="104" spans="1:16" ht="12.75" hidden="1" x14ac:dyDescent="0.2">
      <c r="A104" s="165"/>
      <c r="B104" s="166"/>
      <c r="C104" s="166"/>
      <c r="D104" s="16"/>
      <c r="E104" s="16"/>
      <c r="F104" s="16"/>
      <c r="G104" s="17"/>
      <c r="H104" s="17"/>
      <c r="I104" s="18"/>
      <c r="J104" s="18"/>
      <c r="K104" s="19"/>
      <c r="L104" s="19"/>
      <c r="M104" s="19"/>
      <c r="N104" s="19"/>
      <c r="O104" s="19"/>
      <c r="P104" s="19"/>
    </row>
    <row r="105" spans="1:16" ht="12.75" hidden="1" x14ac:dyDescent="0.2">
      <c r="A105" s="165"/>
      <c r="B105" s="166"/>
      <c r="C105" s="166"/>
      <c r="D105" s="16"/>
      <c r="E105" s="16"/>
      <c r="F105" s="16"/>
      <c r="G105" s="17"/>
      <c r="H105" s="17"/>
      <c r="I105" s="18"/>
      <c r="J105" s="18"/>
      <c r="K105" s="19"/>
      <c r="L105" s="19"/>
      <c r="M105" s="19"/>
      <c r="N105" s="19"/>
      <c r="O105" s="19"/>
      <c r="P105" s="19"/>
    </row>
    <row r="106" spans="1:16" ht="12.75" hidden="1" x14ac:dyDescent="0.2">
      <c r="A106" s="165"/>
      <c r="B106" s="166"/>
      <c r="C106" s="166"/>
      <c r="D106" s="166"/>
      <c r="E106" s="16"/>
      <c r="F106" s="16"/>
      <c r="G106" s="17"/>
      <c r="H106" s="17"/>
      <c r="I106" s="18"/>
      <c r="J106" s="18"/>
      <c r="K106" s="19"/>
      <c r="L106" s="19"/>
      <c r="M106" s="19"/>
      <c r="N106" s="19"/>
      <c r="O106" s="19"/>
      <c r="P106" s="19"/>
    </row>
    <row r="107" spans="1:16" ht="19.5" hidden="1" x14ac:dyDescent="0.3">
      <c r="A107" s="148"/>
      <c r="B107" s="149"/>
      <c r="C107" s="149"/>
      <c r="D107" s="167" t="s">
        <v>45</v>
      </c>
      <c r="E107" s="168"/>
      <c r="F107" s="155"/>
      <c r="G107" s="153"/>
      <c r="H107" s="43"/>
      <c r="I107" s="45"/>
      <c r="J107" s="45"/>
      <c r="K107" s="46"/>
      <c r="L107" s="46"/>
      <c r="M107" s="46"/>
      <c r="N107" s="46"/>
      <c r="O107" s="145"/>
      <c r="P107" s="145"/>
    </row>
    <row r="108" spans="1:16" ht="18.75" hidden="1" x14ac:dyDescent="0.25">
      <c r="A108" s="148"/>
      <c r="B108" s="149"/>
      <c r="C108" s="149"/>
      <c r="D108" s="159" t="s">
        <v>46</v>
      </c>
      <c r="E108" s="155"/>
      <c r="F108" s="155"/>
      <c r="G108" s="153"/>
      <c r="H108" s="44" t="s">
        <v>44</v>
      </c>
      <c r="I108" s="169">
        <f ca="1">IFERROR(__xludf.DUMMYFUNCTION("IMPORTRANGE(""https://docs.google.com/spreadsheets/d/1eHaY18a8A9IcSdp1K8H6x8fbOy06t2VsZHhMHf-1x7Y/edit?usp=sharing"",""แผน!N18"")"),0)</f>
        <v>0</v>
      </c>
      <c r="J108" s="250">
        <v>0</v>
      </c>
      <c r="K108" s="47">
        <f ca="1">IF(I108&gt;0,J108*100/I108,0)</f>
        <v>0</v>
      </c>
      <c r="L108" s="46"/>
      <c r="M108" s="46"/>
      <c r="N108" s="46"/>
      <c r="O108" s="145"/>
      <c r="P108" s="145"/>
    </row>
    <row r="109" spans="1:16" ht="18.75" hidden="1" x14ac:dyDescent="0.25">
      <c r="A109" s="148"/>
      <c r="B109" s="149"/>
      <c r="C109" s="149"/>
      <c r="D109" s="159" t="s">
        <v>47</v>
      </c>
      <c r="E109" s="155"/>
      <c r="F109" s="155"/>
      <c r="G109" s="153"/>
      <c r="H109" s="44" t="s">
        <v>33</v>
      </c>
      <c r="I109" s="169">
        <f ca="1">IFERROR(__xludf.DUMMYFUNCTION("IMPORTRANGE(""https://docs.google.com/spreadsheets/d/1eHaY18a8A9IcSdp1K8H6x8fbOy06t2VsZHhMHf-1x7Y/edit?usp=sharing"",""แผน!O18"")"),0)</f>
        <v>0</v>
      </c>
      <c r="J109" s="250">
        <v>0</v>
      </c>
      <c r="K109" s="47">
        <f ca="1">IF(I109&gt;0,J109*100/I109,0)</f>
        <v>0</v>
      </c>
      <c r="L109" s="46"/>
      <c r="M109" s="46"/>
      <c r="N109" s="46"/>
      <c r="O109" s="145"/>
      <c r="P109" s="145"/>
    </row>
    <row r="110" spans="1:16" ht="12.75" hidden="1" x14ac:dyDescent="0.2">
      <c r="A110" s="165"/>
      <c r="B110" s="166"/>
      <c r="C110" s="166"/>
      <c r="D110" s="16"/>
      <c r="E110" s="16"/>
      <c r="F110" s="16"/>
      <c r="G110" s="17"/>
      <c r="H110" s="17"/>
      <c r="I110" s="18"/>
      <c r="J110" s="18"/>
      <c r="K110" s="19"/>
      <c r="L110" s="19"/>
      <c r="M110" s="19"/>
      <c r="N110" s="19"/>
      <c r="O110" s="19"/>
      <c r="P110" s="19"/>
    </row>
    <row r="111" spans="1:16" ht="12.75" hidden="1" x14ac:dyDescent="0.2">
      <c r="A111" s="165"/>
      <c r="B111" s="166"/>
      <c r="C111" s="166"/>
      <c r="D111" s="16"/>
      <c r="E111" s="16"/>
      <c r="F111" s="16"/>
      <c r="G111" s="17"/>
      <c r="H111" s="17"/>
      <c r="I111" s="18"/>
      <c r="J111" s="18"/>
      <c r="K111" s="19"/>
      <c r="L111" s="19"/>
      <c r="M111" s="19"/>
      <c r="N111" s="19"/>
      <c r="O111" s="19"/>
      <c r="P111" s="19"/>
    </row>
    <row r="112" spans="1:16" ht="12.75" hidden="1" x14ac:dyDescent="0.2">
      <c r="A112" s="165"/>
      <c r="B112" s="166"/>
      <c r="C112" s="166"/>
      <c r="D112" s="16"/>
      <c r="E112" s="16"/>
      <c r="F112" s="16"/>
      <c r="G112" s="17"/>
      <c r="H112" s="17"/>
      <c r="I112" s="18"/>
      <c r="J112" s="18"/>
      <c r="K112" s="19"/>
      <c r="L112" s="19"/>
      <c r="M112" s="19"/>
      <c r="N112" s="19"/>
      <c r="O112" s="19"/>
      <c r="P112" s="19"/>
    </row>
    <row r="113" spans="1:16" ht="12.75" hidden="1" x14ac:dyDescent="0.2">
      <c r="A113" s="165"/>
      <c r="B113" s="166"/>
      <c r="C113" s="166"/>
      <c r="D113" s="16"/>
      <c r="E113" s="16"/>
      <c r="F113" s="16"/>
      <c r="G113" s="17"/>
      <c r="H113" s="17"/>
      <c r="I113" s="18"/>
      <c r="J113" s="18"/>
      <c r="K113" s="19"/>
      <c r="L113" s="19"/>
      <c r="M113" s="19"/>
      <c r="N113" s="19"/>
      <c r="O113" s="19"/>
      <c r="P113" s="19"/>
    </row>
    <row r="114" spans="1:16" ht="12.75" hidden="1" x14ac:dyDescent="0.2">
      <c r="A114" s="165"/>
      <c r="B114" s="166"/>
      <c r="C114" s="166"/>
      <c r="D114" s="16"/>
      <c r="E114" s="16"/>
      <c r="F114" s="16"/>
      <c r="G114" s="17"/>
      <c r="H114" s="17"/>
      <c r="I114" s="18"/>
      <c r="J114" s="18"/>
      <c r="K114" s="19"/>
      <c r="L114" s="19"/>
      <c r="M114" s="19"/>
      <c r="N114" s="19"/>
      <c r="O114" s="19"/>
      <c r="P114" s="19"/>
    </row>
    <row r="115" spans="1:16" ht="12.75" hidden="1" x14ac:dyDescent="0.2">
      <c r="A115" s="165"/>
      <c r="B115" s="166"/>
      <c r="C115" s="166"/>
      <c r="D115" s="16"/>
      <c r="E115" s="16"/>
      <c r="F115" s="16"/>
      <c r="G115" s="17"/>
      <c r="H115" s="17"/>
      <c r="I115" s="18"/>
      <c r="J115" s="18"/>
      <c r="K115" s="19"/>
      <c r="L115" s="19"/>
      <c r="M115" s="19"/>
      <c r="N115" s="19"/>
      <c r="O115" s="19"/>
      <c r="P115" s="19"/>
    </row>
    <row r="116" spans="1:16" ht="12.75" hidden="1" x14ac:dyDescent="0.2">
      <c r="A116" s="165"/>
      <c r="B116" s="166"/>
      <c r="C116" s="166"/>
      <c r="D116" s="16"/>
      <c r="E116" s="16"/>
      <c r="F116" s="16"/>
      <c r="G116" s="17"/>
      <c r="H116" s="17"/>
      <c r="I116" s="18"/>
      <c r="J116" s="18"/>
      <c r="K116" s="19"/>
      <c r="L116" s="19"/>
      <c r="M116" s="19"/>
      <c r="N116" s="19"/>
      <c r="O116" s="19"/>
      <c r="P116" s="19"/>
    </row>
    <row r="117" spans="1:16" ht="18.75" hidden="1" x14ac:dyDescent="0.25">
      <c r="A117" s="148"/>
      <c r="B117" s="149"/>
      <c r="C117" s="149"/>
      <c r="D117" s="159" t="s">
        <v>48</v>
      </c>
      <c r="E117" s="155"/>
      <c r="F117" s="155"/>
      <c r="G117" s="153"/>
      <c r="H117" s="251" t="s">
        <v>33</v>
      </c>
      <c r="I117" s="161">
        <f ca="1">IFERROR(__xludf.DUMMYFUNCTION("IMPORTRANGE(""https://docs.google.com/spreadsheets/d/1eHaY18a8A9IcSdp1K8H6x8fbOy06t2VsZHhMHf-1x7Y/edit?usp=sharing"",""แผน!R18"")"),0)</f>
        <v>0</v>
      </c>
      <c r="J117" s="250">
        <v>0</v>
      </c>
      <c r="K117" s="47">
        <f ca="1">IF(I117&gt;0,J117*100/I117,0)</f>
        <v>0</v>
      </c>
      <c r="L117" s="46"/>
      <c r="M117" s="46"/>
      <c r="N117" s="46"/>
      <c r="O117" s="145"/>
      <c r="P117" s="145"/>
    </row>
    <row r="118" spans="1:16" ht="12.75" hidden="1" x14ac:dyDescent="0.2">
      <c r="A118" s="165"/>
      <c r="B118" s="166"/>
      <c r="C118" s="166"/>
      <c r="D118" s="166"/>
      <c r="E118" s="16"/>
      <c r="F118" s="16"/>
      <c r="G118" s="17"/>
      <c r="H118" s="17"/>
      <c r="I118" s="18"/>
      <c r="J118" s="18"/>
      <c r="K118" s="19"/>
      <c r="L118" s="19"/>
      <c r="M118" s="19"/>
      <c r="N118" s="19"/>
      <c r="O118" s="19"/>
      <c r="P118" s="19"/>
    </row>
    <row r="119" spans="1:16" ht="12.75" hidden="1" x14ac:dyDescent="0.2">
      <c r="A119" s="165"/>
      <c r="B119" s="166"/>
      <c r="C119" s="166"/>
      <c r="D119" s="166"/>
      <c r="E119" s="16"/>
      <c r="F119" s="16"/>
      <c r="G119" s="17"/>
      <c r="H119" s="17"/>
      <c r="I119" s="18"/>
      <c r="J119" s="18"/>
      <c r="K119" s="19"/>
      <c r="L119" s="19"/>
      <c r="M119" s="19"/>
      <c r="N119" s="19"/>
      <c r="O119" s="19"/>
      <c r="P119" s="19"/>
    </row>
    <row r="120" spans="1:16" ht="12.75" hidden="1" x14ac:dyDescent="0.2">
      <c r="A120" s="165"/>
      <c r="B120" s="166"/>
      <c r="C120" s="166"/>
      <c r="D120" s="166"/>
      <c r="E120" s="16"/>
      <c r="F120" s="16"/>
      <c r="G120" s="17"/>
      <c r="H120" s="17"/>
      <c r="I120" s="18"/>
      <c r="J120" s="18"/>
      <c r="K120" s="19"/>
      <c r="L120" s="19"/>
      <c r="M120" s="19"/>
      <c r="N120" s="19"/>
      <c r="O120" s="19"/>
      <c r="P120" s="19"/>
    </row>
    <row r="121" spans="1:16" ht="12.75" hidden="1" x14ac:dyDescent="0.2">
      <c r="A121" s="165"/>
      <c r="B121" s="166"/>
      <c r="C121" s="166"/>
      <c r="D121" s="166"/>
      <c r="E121" s="16"/>
      <c r="F121" s="16"/>
      <c r="G121" s="17"/>
      <c r="H121" s="17"/>
      <c r="I121" s="18"/>
      <c r="J121" s="18"/>
      <c r="K121" s="19"/>
      <c r="L121" s="19"/>
      <c r="M121" s="19"/>
      <c r="N121" s="19"/>
      <c r="O121" s="19"/>
      <c r="P121" s="19"/>
    </row>
    <row r="122" spans="1:16" ht="12.75" hidden="1" x14ac:dyDescent="0.2">
      <c r="A122" s="165"/>
      <c r="B122" s="166"/>
      <c r="C122" s="166"/>
      <c r="D122" s="166"/>
      <c r="E122" s="16"/>
      <c r="F122" s="16"/>
      <c r="G122" s="17"/>
      <c r="H122" s="17"/>
      <c r="I122" s="18"/>
      <c r="J122" s="18"/>
      <c r="K122" s="19"/>
      <c r="L122" s="19"/>
      <c r="M122" s="19"/>
      <c r="N122" s="19"/>
      <c r="O122" s="19"/>
      <c r="P122" s="19"/>
    </row>
    <row r="123" spans="1:16" ht="19.5" hidden="1" x14ac:dyDescent="0.3">
      <c r="A123" s="170" t="s">
        <v>49</v>
      </c>
      <c r="B123" s="16"/>
      <c r="C123" s="171"/>
      <c r="D123" s="16"/>
      <c r="E123" s="16"/>
      <c r="F123" s="16"/>
      <c r="G123" s="16"/>
      <c r="H123" s="16"/>
      <c r="I123" s="172"/>
      <c r="J123" s="172"/>
      <c r="K123" s="173"/>
      <c r="L123" s="19"/>
      <c r="M123" s="19"/>
      <c r="N123" s="19"/>
      <c r="O123" s="19"/>
      <c r="P123" s="19"/>
    </row>
    <row r="124" spans="1:16" ht="19.5" hidden="1" x14ac:dyDescent="0.3">
      <c r="A124" s="174"/>
      <c r="B124" s="178" t="s">
        <v>50</v>
      </c>
      <c r="C124" s="171"/>
      <c r="D124" s="166"/>
      <c r="E124" s="16"/>
      <c r="F124" s="16"/>
      <c r="G124" s="17"/>
      <c r="H124" s="17"/>
      <c r="I124" s="176">
        <v>0</v>
      </c>
      <c r="J124" s="176">
        <v>0</v>
      </c>
      <c r="K124" s="177">
        <v>0</v>
      </c>
      <c r="L124" s="19"/>
      <c r="M124" s="19"/>
      <c r="N124" s="19"/>
      <c r="O124" s="19"/>
      <c r="P124" s="19"/>
    </row>
    <row r="125" spans="1:16" ht="19.5" hidden="1" x14ac:dyDescent="0.3">
      <c r="A125" s="174"/>
      <c r="B125" s="16"/>
      <c r="C125" s="178" t="s">
        <v>16</v>
      </c>
      <c r="D125" s="402" t="s">
        <v>17</v>
      </c>
      <c r="E125" s="16"/>
      <c r="F125" s="16"/>
      <c r="G125" s="17"/>
      <c r="H125" s="180" t="s">
        <v>12</v>
      </c>
      <c r="I125" s="18"/>
      <c r="J125" s="18"/>
      <c r="K125" s="19"/>
      <c r="L125" s="181">
        <f ca="1">L126+L127</f>
        <v>0</v>
      </c>
      <c r="M125" s="181">
        <f ca="1">M126+M127</f>
        <v>0</v>
      </c>
      <c r="N125" s="181">
        <f ca="1">N126+N127</f>
        <v>0</v>
      </c>
      <c r="O125" s="181">
        <f ca="1">IF(L125&gt;0,N125*100/L125,0)</f>
        <v>0</v>
      </c>
      <c r="P125" s="181">
        <f ca="1">IF(M125&gt;0,N125*100/M125,0)</f>
        <v>0</v>
      </c>
    </row>
    <row r="126" spans="1:16" ht="18.75" hidden="1" x14ac:dyDescent="0.25">
      <c r="A126" s="174"/>
      <c r="B126" s="16"/>
      <c r="C126" s="16"/>
      <c r="D126" s="16"/>
      <c r="E126" s="182" t="s">
        <v>18</v>
      </c>
      <c r="F126" s="16"/>
      <c r="G126" s="17"/>
      <c r="H126" s="183" t="s">
        <v>12</v>
      </c>
      <c r="I126" s="18"/>
      <c r="J126" s="18"/>
      <c r="K126" s="19"/>
      <c r="L126" s="184">
        <f>L129+L132</f>
        <v>0</v>
      </c>
      <c r="M126" s="184">
        <f>M129+M132</f>
        <v>0</v>
      </c>
      <c r="N126" s="184">
        <f>N129+N132</f>
        <v>0</v>
      </c>
      <c r="O126" s="184">
        <f>IF(L126&gt;0,N126*100/L126,0)</f>
        <v>0</v>
      </c>
      <c r="P126" s="184">
        <f>IF(M126&gt;0,N126*100/M126,0)</f>
        <v>0</v>
      </c>
    </row>
    <row r="127" spans="1:16" ht="18.75" hidden="1" x14ac:dyDescent="0.25">
      <c r="A127" s="174"/>
      <c r="B127" s="16"/>
      <c r="C127" s="16"/>
      <c r="D127" s="16"/>
      <c r="E127" s="185" t="s">
        <v>19</v>
      </c>
      <c r="F127" s="16"/>
      <c r="G127" s="17"/>
      <c r="H127" s="186" t="s">
        <v>12</v>
      </c>
      <c r="I127" s="18"/>
      <c r="J127" s="18"/>
      <c r="K127" s="19"/>
      <c r="L127" s="177">
        <f ca="1">L130+L133</f>
        <v>0</v>
      </c>
      <c r="M127" s="177">
        <f ca="1">M130+M133</f>
        <v>0</v>
      </c>
      <c r="N127" s="177">
        <f ca="1">N130+N133</f>
        <v>0</v>
      </c>
      <c r="O127" s="177">
        <f ca="1">IF(L127&gt;0,N127*100/L127,0)</f>
        <v>0</v>
      </c>
      <c r="P127" s="177">
        <f ca="1">IF(M127&gt;0,N127*100/M127,0)</f>
        <v>0</v>
      </c>
    </row>
    <row r="128" spans="1:16" ht="18.75" hidden="1" x14ac:dyDescent="0.25">
      <c r="A128" s="174"/>
      <c r="B128" s="16"/>
      <c r="C128" s="16"/>
      <c r="D128" s="401" t="s">
        <v>20</v>
      </c>
      <c r="E128" s="16"/>
      <c r="F128" s="16"/>
      <c r="G128" s="17"/>
      <c r="H128" s="188" t="s">
        <v>12</v>
      </c>
      <c r="I128" s="18"/>
      <c r="J128" s="18"/>
      <c r="K128" s="19"/>
      <c r="L128" s="177">
        <f ca="1">L129+L130</f>
        <v>0</v>
      </c>
      <c r="M128" s="177">
        <f ca="1">M129+M130</f>
        <v>0</v>
      </c>
      <c r="N128" s="177">
        <f ca="1">N129+N130</f>
        <v>0</v>
      </c>
      <c r="O128" s="177">
        <f ca="1">IF(L128&gt;0,N128*100/L128,0)</f>
        <v>0</v>
      </c>
      <c r="P128" s="177">
        <f ca="1">IF(M128&gt;0,N128*100/M128,0)</f>
        <v>0</v>
      </c>
    </row>
    <row r="129" spans="1:16" ht="18.75" hidden="1" x14ac:dyDescent="0.25">
      <c r="A129" s="174"/>
      <c r="B129" s="16"/>
      <c r="C129" s="16"/>
      <c r="D129" s="16"/>
      <c r="E129" s="182" t="s">
        <v>34</v>
      </c>
      <c r="F129" s="16"/>
      <c r="G129" s="17"/>
      <c r="H129" s="189" t="s">
        <v>12</v>
      </c>
      <c r="I129" s="18"/>
      <c r="J129" s="18"/>
      <c r="K129" s="19"/>
      <c r="L129" s="184">
        <v>0</v>
      </c>
      <c r="M129" s="184">
        <v>0</v>
      </c>
      <c r="N129" s="184">
        <v>0</v>
      </c>
      <c r="O129" s="184">
        <f>IF(L129&gt;0,N129*100/L129,0)</f>
        <v>0</v>
      </c>
      <c r="P129" s="184">
        <f>IF(M129&gt;0,N129*100/M129,0)</f>
        <v>0</v>
      </c>
    </row>
    <row r="130" spans="1:16" ht="18.75" hidden="1" x14ac:dyDescent="0.25">
      <c r="A130" s="174"/>
      <c r="B130" s="16"/>
      <c r="C130" s="16"/>
      <c r="D130" s="16"/>
      <c r="E130" s="185" t="s">
        <v>35</v>
      </c>
      <c r="F130" s="16"/>
      <c r="G130" s="17"/>
      <c r="H130" s="188" t="s">
        <v>12</v>
      </c>
      <c r="I130" s="18"/>
      <c r="J130" s="18"/>
      <c r="K130" s="19"/>
      <c r="L130" s="177">
        <f ca="1">IFERROR(__xludf.DUMMYFUNCTION("IMPORTRANGE(""https://docs.google.com/spreadsheets/d/1-uDff_7J0KD5mKrp0Vvzr7lt3OU09vwQwhkpOPPYv2Y/edit?usp=sharing"",""งบพรบ!BG18"")"),0)</f>
        <v>0</v>
      </c>
      <c r="M130" s="177">
        <f ca="1">IFERROR(__xludf.DUMMYFUNCTION("IMPORTRANGE(""https://docs.google.com/spreadsheets/d/1-uDff_7J0KD5mKrp0Vvzr7lt3OU09vwQwhkpOPPYv2Y/edit?usp=sharing"",""งบพรบ!BL18"")"),0)</f>
        <v>0</v>
      </c>
      <c r="N130" s="177">
        <f ca="1">IFERROR(__xludf.DUMMYFUNCTION("IMPORTRANGE(""https://docs.google.com/spreadsheets/d/1-uDff_7J0KD5mKrp0Vvzr7lt3OU09vwQwhkpOPPYv2Y/edit?usp=sharing"",""งบพรบ!BN18"")"),0)</f>
        <v>0</v>
      </c>
      <c r="O130" s="177">
        <f ca="1">IF(L130&gt;0,N130*100/L130,0)</f>
        <v>0</v>
      </c>
      <c r="P130" s="177">
        <f ca="1">IF(M130&gt;0,N130*100/M130,0)</f>
        <v>0</v>
      </c>
    </row>
    <row r="131" spans="1:16" ht="18.75" hidden="1" x14ac:dyDescent="0.25">
      <c r="A131" s="174"/>
      <c r="B131" s="16"/>
      <c r="C131" s="16"/>
      <c r="D131" s="401" t="s">
        <v>21</v>
      </c>
      <c r="E131" s="16"/>
      <c r="F131" s="16"/>
      <c r="G131" s="17"/>
      <c r="H131" s="186" t="s">
        <v>12</v>
      </c>
      <c r="I131" s="18"/>
      <c r="J131" s="18"/>
      <c r="K131" s="19"/>
      <c r="L131" s="177">
        <f ca="1">L132+L133</f>
        <v>0</v>
      </c>
      <c r="M131" s="177">
        <f ca="1">M132+M133</f>
        <v>0</v>
      </c>
      <c r="N131" s="177">
        <f ca="1">N132+N133</f>
        <v>0</v>
      </c>
      <c r="O131" s="177">
        <f ca="1">IF(L131&gt;0,N131*100/L131,0)</f>
        <v>0</v>
      </c>
      <c r="P131" s="177">
        <f ca="1">IF(M131&gt;0,N131*100/M131,0)</f>
        <v>0</v>
      </c>
    </row>
    <row r="132" spans="1:16" ht="18.75" hidden="1" x14ac:dyDescent="0.25">
      <c r="A132" s="174"/>
      <c r="B132" s="16"/>
      <c r="C132" s="16"/>
      <c r="D132" s="16"/>
      <c r="E132" s="182" t="s">
        <v>18</v>
      </c>
      <c r="F132" s="16"/>
      <c r="G132" s="17"/>
      <c r="H132" s="189" t="s">
        <v>12</v>
      </c>
      <c r="I132" s="18"/>
      <c r="J132" s="18"/>
      <c r="K132" s="19"/>
      <c r="L132" s="184">
        <v>0</v>
      </c>
      <c r="M132" s="184">
        <v>0</v>
      </c>
      <c r="N132" s="184">
        <v>0</v>
      </c>
      <c r="O132" s="184">
        <f>IF(L132&gt;0,N132*100/L132,0)</f>
        <v>0</v>
      </c>
      <c r="P132" s="184">
        <f>IF(M132&gt;0,N132*100/M132,0)</f>
        <v>0</v>
      </c>
    </row>
    <row r="133" spans="1:16" ht="18.75" hidden="1" x14ac:dyDescent="0.25">
      <c r="A133" s="174"/>
      <c r="B133" s="16"/>
      <c r="C133" s="16"/>
      <c r="D133" s="16"/>
      <c r="E133" s="185" t="s">
        <v>19</v>
      </c>
      <c r="F133" s="16"/>
      <c r="G133" s="17"/>
      <c r="H133" s="186" t="s">
        <v>12</v>
      </c>
      <c r="I133" s="18"/>
      <c r="J133" s="18"/>
      <c r="K133" s="19"/>
      <c r="L133" s="177">
        <f ca="1">IFERROR(__xludf.DUMMYFUNCTION("IMPORTRANGE(""https://docs.google.com/spreadsheets/d/1-uDff_7J0KD5mKrp0Vvzr7lt3OU09vwQwhkpOPPYv2Y/edit?usp=sharing"",""งบพรบ!BJ18"")"),0)</f>
        <v>0</v>
      </c>
      <c r="M133" s="177">
        <f ca="1">IFERROR(__xludf.DUMMYFUNCTION("IMPORTRANGE(""https://docs.google.com/spreadsheets/d/1-uDff_7J0KD5mKrp0Vvzr7lt3OU09vwQwhkpOPPYv2Y/edit?usp=sharing"",""งบพรบ!BM18"")"),0)</f>
        <v>0</v>
      </c>
      <c r="N133" s="177">
        <f ca="1">IFERROR(__xludf.DUMMYFUNCTION("IMPORTRANGE(""https://docs.google.com/spreadsheets/d/1-uDff_7J0KD5mKrp0Vvzr7lt3OU09vwQwhkpOPPYv2Y/edit?usp=sharing"",""งบพรบ!BO18"")"),0)</f>
        <v>0</v>
      </c>
      <c r="O133" s="177">
        <f ca="1">IF(L133&gt;0,N133*100/L133,0)</f>
        <v>0</v>
      </c>
      <c r="P133" s="177">
        <f ca="1">IF(M133&gt;0,N133*100/M133,0)</f>
        <v>0</v>
      </c>
    </row>
    <row r="134" spans="1:16" ht="19.5" x14ac:dyDescent="0.3">
      <c r="A134" s="125" t="s">
        <v>51</v>
      </c>
      <c r="B134" s="126"/>
      <c r="C134" s="190"/>
      <c r="D134" s="126"/>
      <c r="E134" s="126"/>
      <c r="F134" s="126"/>
      <c r="G134" s="126"/>
      <c r="H134" s="126"/>
      <c r="I134" s="191"/>
      <c r="J134" s="191"/>
      <c r="K134" s="192"/>
      <c r="L134" s="130"/>
      <c r="M134" s="130"/>
      <c r="N134" s="130"/>
      <c r="O134" s="130"/>
      <c r="P134" s="130"/>
    </row>
    <row r="135" spans="1:16" ht="19.5" x14ac:dyDescent="0.3">
      <c r="A135" s="131"/>
      <c r="B135" s="132" t="s">
        <v>52</v>
      </c>
      <c r="C135" s="193"/>
      <c r="D135" s="133"/>
      <c r="E135" s="26"/>
      <c r="F135" s="26"/>
      <c r="G135" s="26"/>
      <c r="H135" s="26"/>
      <c r="I135" s="194"/>
      <c r="J135" s="31"/>
      <c r="K135" s="32"/>
      <c r="L135" s="32"/>
      <c r="M135" s="32"/>
      <c r="N135" s="32"/>
      <c r="O135" s="32"/>
      <c r="P135" s="32"/>
    </row>
    <row r="136" spans="1:16" ht="19.5" x14ac:dyDescent="0.3">
      <c r="A136" s="131"/>
      <c r="B136" s="26"/>
      <c r="C136" s="195" t="s">
        <v>53</v>
      </c>
      <c r="D136" s="133"/>
      <c r="E136" s="26"/>
      <c r="F136" s="26"/>
      <c r="G136" s="29"/>
      <c r="H136" s="134" t="s">
        <v>54</v>
      </c>
      <c r="I136" s="135">
        <f ca="1">I154</f>
        <v>0</v>
      </c>
      <c r="J136" s="135">
        <f>J154</f>
        <v>0</v>
      </c>
      <c r="K136" s="33">
        <f ca="1">IF(I136&gt;0,J136*100/I136,0)</f>
        <v>0</v>
      </c>
      <c r="L136" s="32"/>
      <c r="M136" s="32"/>
      <c r="N136" s="32"/>
      <c r="O136" s="32"/>
      <c r="P136" s="32"/>
    </row>
    <row r="137" spans="1:16" ht="19.5" x14ac:dyDescent="0.3">
      <c r="A137" s="131"/>
      <c r="B137" s="26"/>
      <c r="C137" s="195" t="s">
        <v>55</v>
      </c>
      <c r="D137" s="133"/>
      <c r="E137" s="26"/>
      <c r="F137" s="26"/>
      <c r="G137" s="29"/>
      <c r="H137" s="134" t="s">
        <v>33</v>
      </c>
      <c r="I137" s="135">
        <f ca="1">I152</f>
        <v>20</v>
      </c>
      <c r="J137" s="135">
        <f>J152</f>
        <v>0</v>
      </c>
      <c r="K137" s="33">
        <f ca="1">IF(I137&gt;0,J137*100/I137,0)</f>
        <v>0</v>
      </c>
      <c r="L137" s="32"/>
      <c r="M137" s="32"/>
      <c r="N137" s="32"/>
      <c r="O137" s="32"/>
      <c r="P137" s="32"/>
    </row>
    <row r="138" spans="1:16" ht="19.5" x14ac:dyDescent="0.3">
      <c r="A138" s="131"/>
      <c r="B138" s="26"/>
      <c r="C138" s="193"/>
      <c r="D138" s="133"/>
      <c r="E138" s="26"/>
      <c r="F138" s="26"/>
      <c r="G138" s="29"/>
      <c r="H138" s="134" t="s">
        <v>56</v>
      </c>
      <c r="I138" s="135">
        <f ca="1">I153</f>
        <v>2</v>
      </c>
      <c r="J138" s="135">
        <f>J153</f>
        <v>0</v>
      </c>
      <c r="K138" s="33">
        <f ca="1">IF(I138&gt;0,J138*100/I138,0)</f>
        <v>0</v>
      </c>
      <c r="L138" s="32"/>
      <c r="M138" s="32"/>
      <c r="N138" s="32"/>
      <c r="O138" s="32"/>
      <c r="P138" s="32"/>
    </row>
    <row r="139" spans="1:16" ht="19.5" x14ac:dyDescent="0.3">
      <c r="A139" s="136"/>
      <c r="B139" s="41"/>
      <c r="C139" s="197" t="s">
        <v>16</v>
      </c>
      <c r="D139" s="397" t="s">
        <v>17</v>
      </c>
      <c r="E139" s="41"/>
      <c r="F139" s="41"/>
      <c r="G139" s="43"/>
      <c r="H139" s="139" t="s">
        <v>12</v>
      </c>
      <c r="I139" s="45"/>
      <c r="J139" s="45"/>
      <c r="K139" s="46"/>
      <c r="L139" s="140">
        <f ca="1">L140+L141</f>
        <v>31600</v>
      </c>
      <c r="M139" s="140">
        <f ca="1">M140+M141</f>
        <v>26600</v>
      </c>
      <c r="N139" s="140">
        <f ca="1">N140+N141</f>
        <v>0</v>
      </c>
      <c r="O139" s="140">
        <f ca="1">IF(L139&gt;0,N139*100/L139,0)</f>
        <v>0</v>
      </c>
      <c r="P139" s="140">
        <f ca="1">IF(M139&gt;0,N139*100/M139,0)</f>
        <v>0</v>
      </c>
    </row>
    <row r="140" spans="1:16" ht="18.75" hidden="1" x14ac:dyDescent="0.25">
      <c r="A140" s="136"/>
      <c r="B140" s="41"/>
      <c r="C140" s="41"/>
      <c r="D140" s="41"/>
      <c r="E140" s="279" t="s">
        <v>18</v>
      </c>
      <c r="F140" s="41"/>
      <c r="G140" s="43"/>
      <c r="H140" s="141" t="s">
        <v>12</v>
      </c>
      <c r="I140" s="45"/>
      <c r="J140" s="45"/>
      <c r="K140" s="46"/>
      <c r="L140" s="50">
        <f>L143+L146</f>
        <v>0</v>
      </c>
      <c r="M140" s="50">
        <f>M143+M146</f>
        <v>0</v>
      </c>
      <c r="N140" s="50">
        <f>N143+N146</f>
        <v>0</v>
      </c>
      <c r="O140" s="50">
        <f>IF(L140&gt;0,N140*100/L140,0)</f>
        <v>0</v>
      </c>
      <c r="P140" s="50">
        <f>IF(M140&gt;0,N140*100/M140,0)</f>
        <v>0</v>
      </c>
    </row>
    <row r="141" spans="1:16" ht="18.75" x14ac:dyDescent="0.25">
      <c r="A141" s="136"/>
      <c r="B141" s="41"/>
      <c r="C141" s="41"/>
      <c r="D141" s="41"/>
      <c r="E141" s="254" t="s">
        <v>19</v>
      </c>
      <c r="F141" s="41"/>
      <c r="G141" s="43"/>
      <c r="H141" s="142" t="s">
        <v>12</v>
      </c>
      <c r="I141" s="45"/>
      <c r="J141" s="45"/>
      <c r="K141" s="46"/>
      <c r="L141" s="47">
        <f ca="1">L144+L147</f>
        <v>31600</v>
      </c>
      <c r="M141" s="47">
        <f ca="1">M144+M147</f>
        <v>26600</v>
      </c>
      <c r="N141" s="47">
        <f ca="1">N144+N147</f>
        <v>0</v>
      </c>
      <c r="O141" s="47">
        <f ca="1">IF(L141&gt;0,N141*100/L141,0)</f>
        <v>0</v>
      </c>
      <c r="P141" s="47">
        <f ca="1">IF(M141&gt;0,N141*100/M141,0)</f>
        <v>0</v>
      </c>
    </row>
    <row r="142" spans="1:16" ht="18.75" x14ac:dyDescent="0.25">
      <c r="A142" s="136"/>
      <c r="B142" s="41"/>
      <c r="C142" s="41"/>
      <c r="D142" s="42" t="s">
        <v>20</v>
      </c>
      <c r="E142" s="41"/>
      <c r="F142" s="41"/>
      <c r="G142" s="43"/>
      <c r="H142" s="143" t="s">
        <v>12</v>
      </c>
      <c r="I142" s="144"/>
      <c r="J142" s="144"/>
      <c r="K142" s="145"/>
      <c r="L142" s="47">
        <f ca="1">L143+L144</f>
        <v>31600</v>
      </c>
      <c r="M142" s="47">
        <f ca="1">M143+M144</f>
        <v>26600</v>
      </c>
      <c r="N142" s="47">
        <f ca="1">N143+N144</f>
        <v>0</v>
      </c>
      <c r="O142" s="47">
        <f ca="1">IF(L142&gt;0,N142*100/L142,0)</f>
        <v>0</v>
      </c>
      <c r="P142" s="47">
        <f ca="1">IF(M142&gt;0,N142*100/M142,0)</f>
        <v>0</v>
      </c>
    </row>
    <row r="143" spans="1:16" ht="18.75" hidden="1" x14ac:dyDescent="0.25">
      <c r="A143" s="136"/>
      <c r="B143" s="41"/>
      <c r="C143" s="41"/>
      <c r="D143" s="41"/>
      <c r="E143" s="279" t="s">
        <v>34</v>
      </c>
      <c r="F143" s="41"/>
      <c r="G143" s="43"/>
      <c r="H143" s="146" t="s">
        <v>12</v>
      </c>
      <c r="I143" s="144"/>
      <c r="J143" s="144"/>
      <c r="K143" s="145"/>
      <c r="L143" s="50">
        <v>0</v>
      </c>
      <c r="M143" s="50">
        <v>0</v>
      </c>
      <c r="N143" s="50">
        <v>0</v>
      </c>
      <c r="O143" s="50">
        <f>IF(L143&gt;0,N143*100/L143,0)</f>
        <v>0</v>
      </c>
      <c r="P143" s="50">
        <f>IF(M143&gt;0,N143*100/M143,0)</f>
        <v>0</v>
      </c>
    </row>
    <row r="144" spans="1:16" ht="18.75" x14ac:dyDescent="0.25">
      <c r="A144" s="136"/>
      <c r="B144" s="41"/>
      <c r="C144" s="41"/>
      <c r="D144" s="41"/>
      <c r="E144" s="254" t="s">
        <v>35</v>
      </c>
      <c r="F144" s="41"/>
      <c r="G144" s="43"/>
      <c r="H144" s="143" t="s">
        <v>12</v>
      </c>
      <c r="I144" s="144"/>
      <c r="J144" s="144"/>
      <c r="K144" s="145"/>
      <c r="L144" s="47">
        <f ca="1">IFERROR(__xludf.DUMMYFUNCTION("IMPORTRANGE(""https://docs.google.com/spreadsheets/d/1-uDff_7J0KD5mKrp0Vvzr7lt3OU09vwQwhkpOPPYv2Y/edit?usp=sharing"",""งบพรบ!BQ18"")"),31600)</f>
        <v>31600</v>
      </c>
      <c r="M144" s="47">
        <f ca="1">IFERROR(__xludf.DUMMYFUNCTION("IMPORTRANGE(""https://docs.google.com/spreadsheets/d/1-uDff_7J0KD5mKrp0Vvzr7lt3OU09vwQwhkpOPPYv2Y/edit?usp=sharing"",""งบพรบ!BV18"")"),26600)</f>
        <v>26600</v>
      </c>
      <c r="N144" s="47">
        <f ca="1">IFERROR(__xludf.DUMMYFUNCTION("IMPORTRANGE(""https://docs.google.com/spreadsheets/d/1-uDff_7J0KD5mKrp0Vvzr7lt3OU09vwQwhkpOPPYv2Y/edit?usp=sharing"",""งบพรบ!BX18"")"),0)</f>
        <v>0</v>
      </c>
      <c r="O144" s="47">
        <f ca="1">IF(L144&gt;0,N144*100/L144,0)</f>
        <v>0</v>
      </c>
      <c r="P144" s="47">
        <f ca="1">IF(M144&gt;0,N144*100/M144,0)</f>
        <v>0</v>
      </c>
    </row>
    <row r="145" spans="1:16" ht="18.75" x14ac:dyDescent="0.25">
      <c r="A145" s="136"/>
      <c r="B145" s="41"/>
      <c r="C145" s="41"/>
      <c r="D145" s="42" t="s">
        <v>21</v>
      </c>
      <c r="E145" s="41"/>
      <c r="F145" s="41"/>
      <c r="G145" s="43"/>
      <c r="H145" s="147" t="s">
        <v>12</v>
      </c>
      <c r="I145" s="144"/>
      <c r="J145" s="144"/>
      <c r="K145" s="145"/>
      <c r="L145" s="47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</row>
    <row r="146" spans="1:16" ht="18.75" hidden="1" x14ac:dyDescent="0.25">
      <c r="A146" s="136"/>
      <c r="B146" s="41"/>
      <c r="C146" s="41"/>
      <c r="D146" s="41"/>
      <c r="E146" s="279" t="s">
        <v>18</v>
      </c>
      <c r="F146" s="41"/>
      <c r="G146" s="43"/>
      <c r="H146" s="146" t="s">
        <v>12</v>
      </c>
      <c r="I146" s="144"/>
      <c r="J146" s="144"/>
      <c r="K146" s="145"/>
      <c r="L146" s="50">
        <v>0</v>
      </c>
      <c r="M146" s="50">
        <v>0</v>
      </c>
      <c r="N146" s="50">
        <v>0</v>
      </c>
      <c r="O146" s="50">
        <f>IF(L146&gt;0,N146*100/L146,0)</f>
        <v>0</v>
      </c>
      <c r="P146" s="50">
        <f>IF(M146&gt;0,N146*100/M146,0)</f>
        <v>0</v>
      </c>
    </row>
    <row r="147" spans="1:16" ht="18.75" x14ac:dyDescent="0.25">
      <c r="A147" s="136"/>
      <c r="B147" s="41"/>
      <c r="C147" s="41"/>
      <c r="D147" s="41"/>
      <c r="E147" s="254" t="s">
        <v>19</v>
      </c>
      <c r="F147" s="41"/>
      <c r="G147" s="43"/>
      <c r="H147" s="147" t="s">
        <v>12</v>
      </c>
      <c r="I147" s="144"/>
      <c r="J147" s="144"/>
      <c r="K147" s="145"/>
      <c r="L147" s="47">
        <f ca="1">IFERROR(__xludf.DUMMYFUNCTION("IMPORTRANGE(""https://docs.google.com/spreadsheets/d/1-uDff_7J0KD5mKrp0Vvzr7lt3OU09vwQwhkpOPPYv2Y/edit?usp=sharing"",""งบพรบ!BT18"")"),0)</f>
        <v>0</v>
      </c>
      <c r="M147" s="47">
        <f ca="1">IFERROR(__xludf.DUMMYFUNCTION("IMPORTRANGE(""https://docs.google.com/spreadsheets/d/1-uDff_7J0KD5mKrp0Vvzr7lt3OU09vwQwhkpOPPYv2Y/edit?usp=sharing"",""งบพรบ!BW18"")"),0)</f>
        <v>0</v>
      </c>
      <c r="N147" s="47">
        <f ca="1">IFERROR(__xludf.DUMMYFUNCTION("IMPORTRANGE(""https://docs.google.com/spreadsheets/d/1-uDff_7J0KD5mKrp0Vvzr7lt3OU09vwQwhkpOPPYv2Y/edit?usp=sharing"",""งบพรบ!BY18"")"),0)</f>
        <v>0</v>
      </c>
      <c r="O147" s="47">
        <f ca="1">IF(L147&gt;0,N147*100/L147,0)</f>
        <v>0</v>
      </c>
      <c r="P147" s="47">
        <f ca="1">IF(M147&gt;0,N147*100/M147,0)</f>
        <v>0</v>
      </c>
    </row>
    <row r="148" spans="1:16" ht="19.5" x14ac:dyDescent="0.3">
      <c r="A148" s="148"/>
      <c r="B148" s="149"/>
      <c r="C148" s="197" t="s">
        <v>16</v>
      </c>
      <c r="D148" s="395" t="s">
        <v>36</v>
      </c>
      <c r="E148" s="151"/>
      <c r="F148" s="151"/>
      <c r="G148" s="152"/>
      <c r="H148" s="196"/>
      <c r="I148" s="45"/>
      <c r="J148" s="45"/>
      <c r="K148" s="46"/>
      <c r="L148" s="46"/>
      <c r="M148" s="46"/>
      <c r="N148" s="46"/>
      <c r="O148" s="46"/>
      <c r="P148" s="46"/>
    </row>
    <row r="149" spans="1:16" ht="18.75" x14ac:dyDescent="0.25">
      <c r="A149" s="136"/>
      <c r="B149" s="41"/>
      <c r="C149" s="41"/>
      <c r="D149" s="254" t="s">
        <v>57</v>
      </c>
      <c r="E149" s="41"/>
      <c r="F149" s="41"/>
      <c r="G149" s="43"/>
      <c r="H149" s="196"/>
      <c r="I149" s="45"/>
      <c r="J149" s="250">
        <v>0</v>
      </c>
      <c r="K149" s="46"/>
      <c r="L149" s="46"/>
      <c r="M149" s="46"/>
      <c r="N149" s="46"/>
      <c r="O149" s="46"/>
      <c r="P149" s="46"/>
    </row>
    <row r="150" spans="1:16" ht="19.5" x14ac:dyDescent="0.3">
      <c r="A150" s="136"/>
      <c r="B150" s="41"/>
      <c r="C150" s="41"/>
      <c r="D150" s="155"/>
      <c r="E150" s="197" t="s">
        <v>58</v>
      </c>
      <c r="F150" s="41"/>
      <c r="G150" s="43"/>
      <c r="H150" s="147" t="s">
        <v>33</v>
      </c>
      <c r="I150" s="169">
        <f ca="1">IFERROR(__xludf.DUMMYFUNCTION("IMPORTRANGE(""https://docs.google.com/spreadsheets/d/1eHaY18a8A9IcSdp1K8H6x8fbOy06t2VsZHhMHf-1x7Y/edit?usp=sharing"",""แผน!U18"")"),0)</f>
        <v>0</v>
      </c>
      <c r="J150" s="250">
        <v>0</v>
      </c>
      <c r="K150" s="47">
        <f ca="1">IF(I150&gt;0,J150*100/I150,0)</f>
        <v>0</v>
      </c>
      <c r="L150" s="46"/>
      <c r="M150" s="46"/>
      <c r="N150" s="46"/>
      <c r="O150" s="46"/>
      <c r="P150" s="46"/>
    </row>
    <row r="151" spans="1:16" ht="18.75" x14ac:dyDescent="0.25">
      <c r="A151" s="136"/>
      <c r="B151" s="41"/>
      <c r="C151" s="41"/>
      <c r="D151" s="155"/>
      <c r="E151" s="41"/>
      <c r="F151" s="41"/>
      <c r="G151" s="43"/>
      <c r="H151" s="147" t="s">
        <v>56</v>
      </c>
      <c r="I151" s="169">
        <f ca="1">IFERROR(__xludf.DUMMYFUNCTION("IMPORTRANGE(""https://docs.google.com/spreadsheets/d/1eHaY18a8A9IcSdp1K8H6x8fbOy06t2VsZHhMHf-1x7Y/edit?usp=sharing"",""แผน!V18"")"),0)</f>
        <v>0</v>
      </c>
      <c r="J151" s="250">
        <v>0</v>
      </c>
      <c r="K151" s="47">
        <f ca="1">IF(I151&gt;0,J151*100/I151,0)</f>
        <v>0</v>
      </c>
      <c r="L151" s="46"/>
      <c r="M151" s="46"/>
      <c r="N151" s="46"/>
      <c r="O151" s="46"/>
      <c r="P151" s="46"/>
    </row>
    <row r="152" spans="1:16" ht="19.5" x14ac:dyDescent="0.3">
      <c r="A152" s="136"/>
      <c r="B152" s="41"/>
      <c r="C152" s="41"/>
      <c r="D152" s="155"/>
      <c r="E152" s="197" t="s">
        <v>59</v>
      </c>
      <c r="F152" s="41"/>
      <c r="G152" s="43"/>
      <c r="H152" s="147" t="s">
        <v>33</v>
      </c>
      <c r="I152" s="169">
        <f ca="1">IFERROR(__xludf.DUMMYFUNCTION("IMPORTRANGE(""https://docs.google.com/spreadsheets/d/1eHaY18a8A9IcSdp1K8H6x8fbOy06t2VsZHhMHf-1x7Y/edit?usp=sharing"",""แผน!W18"")"),20)</f>
        <v>20</v>
      </c>
      <c r="J152" s="250">
        <v>0</v>
      </c>
      <c r="K152" s="47">
        <f ca="1">IF(I152&gt;0,J152*100/I152,0)</f>
        <v>0</v>
      </c>
      <c r="L152" s="46"/>
      <c r="M152" s="46"/>
      <c r="N152" s="46"/>
      <c r="O152" s="46"/>
      <c r="P152" s="46"/>
    </row>
    <row r="153" spans="1:16" ht="18.75" x14ac:dyDescent="0.25">
      <c r="A153" s="136"/>
      <c r="B153" s="41"/>
      <c r="C153" s="41"/>
      <c r="D153" s="41"/>
      <c r="E153" s="41"/>
      <c r="F153" s="41"/>
      <c r="G153" s="43"/>
      <c r="H153" s="147" t="s">
        <v>56</v>
      </c>
      <c r="I153" s="169">
        <f ca="1">IFERROR(__xludf.DUMMYFUNCTION("IMPORTRANGE(""https://docs.google.com/spreadsheets/d/1eHaY18a8A9IcSdp1K8H6x8fbOy06t2VsZHhMHf-1x7Y/edit?usp=sharing"",""แผน!X18"")"),2)</f>
        <v>2</v>
      </c>
      <c r="J153" s="250">
        <v>0</v>
      </c>
      <c r="K153" s="47">
        <f ca="1">IF(I153&gt;0,J153*100/I153,0)</f>
        <v>0</v>
      </c>
      <c r="L153" s="46"/>
      <c r="M153" s="46"/>
      <c r="N153" s="46"/>
      <c r="O153" s="46"/>
      <c r="P153" s="46"/>
    </row>
    <row r="154" spans="1:16" ht="18.75" x14ac:dyDescent="0.25">
      <c r="A154" s="136"/>
      <c r="B154" s="41"/>
      <c r="C154" s="41"/>
      <c r="D154" s="254" t="s">
        <v>60</v>
      </c>
      <c r="E154" s="41"/>
      <c r="F154" s="41"/>
      <c r="G154" s="43"/>
      <c r="H154" s="147" t="s">
        <v>54</v>
      </c>
      <c r="I154" s="169">
        <f ca="1">IFERROR(__xludf.DUMMYFUNCTION("IMPORTRANGE(""https://docs.google.com/spreadsheets/d/1eHaY18a8A9IcSdp1K8H6x8fbOy06t2VsZHhMHf-1x7Y/edit?usp=sharing"",""แผน!Y18"")"),0)</f>
        <v>0</v>
      </c>
      <c r="J154" s="250">
        <v>0</v>
      </c>
      <c r="K154" s="47">
        <f ca="1">IF(I154&gt;0,J154*100/I154,0)</f>
        <v>0</v>
      </c>
      <c r="L154" s="46"/>
      <c r="M154" s="46"/>
      <c r="N154" s="46"/>
      <c r="O154" s="46"/>
      <c r="P154" s="46"/>
    </row>
    <row r="155" spans="1:16" ht="19.5" x14ac:dyDescent="0.3">
      <c r="A155" s="125" t="s">
        <v>61</v>
      </c>
      <c r="B155" s="126"/>
      <c r="C155" s="190"/>
      <c r="D155" s="126"/>
      <c r="E155" s="126"/>
      <c r="F155" s="126"/>
      <c r="G155" s="126"/>
      <c r="H155" s="126"/>
      <c r="I155" s="191"/>
      <c r="J155" s="191"/>
      <c r="K155" s="192"/>
      <c r="L155" s="130"/>
      <c r="M155" s="130"/>
      <c r="N155" s="130"/>
      <c r="O155" s="130"/>
      <c r="P155" s="130"/>
    </row>
    <row r="156" spans="1:16" ht="19.5" x14ac:dyDescent="0.3">
      <c r="A156" s="131"/>
      <c r="B156" s="132" t="s">
        <v>62</v>
      </c>
      <c r="C156" s="26"/>
      <c r="D156" s="26"/>
      <c r="E156" s="26"/>
      <c r="F156" s="26"/>
      <c r="G156" s="29"/>
      <c r="H156" s="198" t="s">
        <v>33</v>
      </c>
      <c r="I156" s="135">
        <f ca="1">I167</f>
        <v>15</v>
      </c>
      <c r="J156" s="135">
        <f>J167</f>
        <v>0</v>
      </c>
      <c r="K156" s="33">
        <f ca="1">IF(I156&gt;0,J156*100/I156,0)</f>
        <v>0</v>
      </c>
      <c r="L156" s="32"/>
      <c r="M156" s="32"/>
      <c r="N156" s="32"/>
      <c r="O156" s="32"/>
      <c r="P156" s="32"/>
    </row>
    <row r="157" spans="1:16" ht="19.5" x14ac:dyDescent="0.3">
      <c r="A157" s="136"/>
      <c r="B157" s="41"/>
      <c r="C157" s="197" t="s">
        <v>16</v>
      </c>
      <c r="D157" s="397" t="s">
        <v>17</v>
      </c>
      <c r="E157" s="41"/>
      <c r="F157" s="41"/>
      <c r="G157" s="43"/>
      <c r="H157" s="139" t="s">
        <v>12</v>
      </c>
      <c r="I157" s="45"/>
      <c r="J157" s="45"/>
      <c r="K157" s="46"/>
      <c r="L157" s="140">
        <f ca="1">L158+L159</f>
        <v>4500</v>
      </c>
      <c r="M157" s="140">
        <f ca="1">M158+M159</f>
        <v>0</v>
      </c>
      <c r="N157" s="140">
        <f ca="1">N158+N159</f>
        <v>0</v>
      </c>
      <c r="O157" s="140">
        <f ca="1">IF(L157&gt;0,N157*100/L157,0)</f>
        <v>0</v>
      </c>
      <c r="P157" s="140">
        <f ca="1">IF(M157&gt;0,N157*100/M157,0)</f>
        <v>0</v>
      </c>
    </row>
    <row r="158" spans="1:16" ht="18.75" hidden="1" x14ac:dyDescent="0.25">
      <c r="A158" s="136"/>
      <c r="B158" s="41"/>
      <c r="C158" s="41"/>
      <c r="D158" s="41"/>
      <c r="E158" s="279" t="s">
        <v>18</v>
      </c>
      <c r="F158" s="41"/>
      <c r="G158" s="43"/>
      <c r="H158" s="141" t="s">
        <v>12</v>
      </c>
      <c r="I158" s="45"/>
      <c r="J158" s="45"/>
      <c r="K158" s="46"/>
      <c r="L158" s="50">
        <f>L161+L164</f>
        <v>0</v>
      </c>
      <c r="M158" s="50">
        <f>M161+M164</f>
        <v>0</v>
      </c>
      <c r="N158" s="50">
        <f>N161+N164</f>
        <v>0</v>
      </c>
      <c r="O158" s="50">
        <f>IF(L158&gt;0,N158*100/L158,0)</f>
        <v>0</v>
      </c>
      <c r="P158" s="50">
        <f>IF(M158&gt;0,N158*100/M158,0)</f>
        <v>0</v>
      </c>
    </row>
    <row r="159" spans="1:16" ht="18.75" x14ac:dyDescent="0.25">
      <c r="A159" s="136"/>
      <c r="B159" s="41"/>
      <c r="C159" s="41"/>
      <c r="D159" s="41"/>
      <c r="E159" s="254" t="s">
        <v>19</v>
      </c>
      <c r="F159" s="41"/>
      <c r="G159" s="43"/>
      <c r="H159" s="142" t="s">
        <v>12</v>
      </c>
      <c r="I159" s="45"/>
      <c r="J159" s="45"/>
      <c r="K159" s="46"/>
      <c r="L159" s="47">
        <f ca="1">L162+L165</f>
        <v>4500</v>
      </c>
      <c r="M159" s="47">
        <f ca="1">M162+M165</f>
        <v>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</row>
    <row r="160" spans="1:16" ht="18.75" x14ac:dyDescent="0.25">
      <c r="A160" s="136"/>
      <c r="B160" s="41"/>
      <c r="C160" s="41"/>
      <c r="D160" s="42" t="s">
        <v>20</v>
      </c>
      <c r="E160" s="41"/>
      <c r="F160" s="41"/>
      <c r="G160" s="43"/>
      <c r="H160" s="143" t="s">
        <v>12</v>
      </c>
      <c r="I160" s="144"/>
      <c r="J160" s="144"/>
      <c r="K160" s="145"/>
      <c r="L160" s="47">
        <f ca="1">L161+L162</f>
        <v>4500</v>
      </c>
      <c r="M160" s="47">
        <f ca="1">M161+M162</f>
        <v>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</row>
    <row r="161" spans="1:16" ht="18.75" hidden="1" x14ac:dyDescent="0.25">
      <c r="A161" s="136"/>
      <c r="B161" s="41"/>
      <c r="C161" s="41"/>
      <c r="D161" s="41"/>
      <c r="E161" s="279" t="s">
        <v>34</v>
      </c>
      <c r="F161" s="41"/>
      <c r="G161" s="43"/>
      <c r="H161" s="146" t="s">
        <v>12</v>
      </c>
      <c r="I161" s="144"/>
      <c r="J161" s="144"/>
      <c r="K161" s="145"/>
      <c r="L161" s="50">
        <v>0</v>
      </c>
      <c r="M161" s="50">
        <v>0</v>
      </c>
      <c r="N161" s="50">
        <v>0</v>
      </c>
      <c r="O161" s="50">
        <f>IF(L161&gt;0,N161*100/L161,0)</f>
        <v>0</v>
      </c>
      <c r="P161" s="50">
        <f>IF(M161&gt;0,N161*100/M161,0)</f>
        <v>0</v>
      </c>
    </row>
    <row r="162" spans="1:16" ht="18.75" x14ac:dyDescent="0.25">
      <c r="A162" s="136"/>
      <c r="B162" s="41"/>
      <c r="C162" s="41"/>
      <c r="D162" s="41"/>
      <c r="E162" s="254" t="s">
        <v>35</v>
      </c>
      <c r="F162" s="41"/>
      <c r="G162" s="43"/>
      <c r="H162" s="143" t="s">
        <v>12</v>
      </c>
      <c r="I162" s="144"/>
      <c r="J162" s="144"/>
      <c r="K162" s="145"/>
      <c r="L162" s="47">
        <f ca="1">IFERROR(__xludf.DUMMYFUNCTION("IMPORTRANGE(""https://docs.google.com/spreadsheets/d/1-uDff_7J0KD5mKrp0Vvzr7lt3OU09vwQwhkpOPPYv2Y/edit?usp=sharing"",""งบพรบ!CA18"")"),4500)</f>
        <v>4500</v>
      </c>
      <c r="M162" s="47">
        <f ca="1">IFERROR(__xludf.DUMMYFUNCTION("IMPORTRANGE(""https://docs.google.com/spreadsheets/d/1-uDff_7J0KD5mKrp0Vvzr7lt3OU09vwQwhkpOPPYv2Y/edit?usp=sharing"",""งบพรบ!CF18"")"),0)</f>
        <v>0</v>
      </c>
      <c r="N162" s="47">
        <f ca="1">IFERROR(__xludf.DUMMYFUNCTION("IMPORTRANGE(""https://docs.google.com/spreadsheets/d/1-uDff_7J0KD5mKrp0Vvzr7lt3OU09vwQwhkpOPPYv2Y/edit?usp=sharing"",""งบพรบ!CH18"")"),0)</f>
        <v>0</v>
      </c>
      <c r="O162" s="47">
        <f ca="1">IF(L162&gt;0,N162*100/L162,0)</f>
        <v>0</v>
      </c>
      <c r="P162" s="47">
        <f ca="1">IF(M162&gt;0,N162*100/M162,0)</f>
        <v>0</v>
      </c>
    </row>
    <row r="163" spans="1:16" ht="18.75" x14ac:dyDescent="0.25">
      <c r="A163" s="136"/>
      <c r="B163" s="41"/>
      <c r="C163" s="41"/>
      <c r="D163" s="42" t="s">
        <v>21</v>
      </c>
      <c r="E163" s="41"/>
      <c r="F163" s="41"/>
      <c r="G163" s="43"/>
      <c r="H163" s="147" t="s">
        <v>12</v>
      </c>
      <c r="I163" s="144"/>
      <c r="J163" s="144"/>
      <c r="K163" s="145"/>
      <c r="L163" s="47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</row>
    <row r="164" spans="1:16" ht="18.75" hidden="1" x14ac:dyDescent="0.25">
      <c r="A164" s="136"/>
      <c r="B164" s="41"/>
      <c r="C164" s="41"/>
      <c r="D164" s="41"/>
      <c r="E164" s="279" t="s">
        <v>18</v>
      </c>
      <c r="F164" s="41"/>
      <c r="G164" s="43"/>
      <c r="H164" s="146" t="s">
        <v>12</v>
      </c>
      <c r="I164" s="144"/>
      <c r="J164" s="144"/>
      <c r="K164" s="145"/>
      <c r="L164" s="50">
        <v>0</v>
      </c>
      <c r="M164" s="50">
        <v>0</v>
      </c>
      <c r="N164" s="50">
        <v>0</v>
      </c>
      <c r="O164" s="50">
        <f>IF(L164&gt;0,N164*100/L164,0)</f>
        <v>0</v>
      </c>
      <c r="P164" s="50">
        <f>IF(M164&gt;0,N164*100/M164,0)</f>
        <v>0</v>
      </c>
    </row>
    <row r="165" spans="1:16" ht="18.75" x14ac:dyDescent="0.25">
      <c r="A165" s="136"/>
      <c r="B165" s="41"/>
      <c r="C165" s="41"/>
      <c r="D165" s="41"/>
      <c r="E165" s="254" t="s">
        <v>19</v>
      </c>
      <c r="F165" s="41"/>
      <c r="G165" s="43"/>
      <c r="H165" s="147" t="s">
        <v>12</v>
      </c>
      <c r="I165" s="144"/>
      <c r="J165" s="144"/>
      <c r="K165" s="145"/>
      <c r="L165" s="47">
        <f ca="1">IFERROR(__xludf.DUMMYFUNCTION("IMPORTRANGE(""https://docs.google.com/spreadsheets/d/1-uDff_7J0KD5mKrp0Vvzr7lt3OU09vwQwhkpOPPYv2Y/edit?usp=sharing"",""งบพรบ!CD18"")"),0)</f>
        <v>0</v>
      </c>
      <c r="M165" s="47">
        <f ca="1">IFERROR(__xludf.DUMMYFUNCTION("IMPORTRANGE(""https://docs.google.com/spreadsheets/d/1-uDff_7J0KD5mKrp0Vvzr7lt3OU09vwQwhkpOPPYv2Y/edit?usp=sharing"",""งบพรบ!CG18"")"),0)</f>
        <v>0</v>
      </c>
      <c r="N165" s="47">
        <f ca="1">IFERROR(__xludf.DUMMYFUNCTION("IMPORTRANGE(""https://docs.google.com/spreadsheets/d/1-uDff_7J0KD5mKrp0Vvzr7lt3OU09vwQwhkpOPPYv2Y/edit?usp=sharing"",""งบพรบ!CI18"")"),0)</f>
        <v>0</v>
      </c>
      <c r="O165" s="47">
        <f ca="1">IF(L165&gt;0,N165*100/L165,0)</f>
        <v>0</v>
      </c>
      <c r="P165" s="47">
        <f ca="1">IF(M165&gt;0,N165*100/M165,0)</f>
        <v>0</v>
      </c>
    </row>
    <row r="166" spans="1:16" ht="19.5" x14ac:dyDescent="0.3">
      <c r="A166" s="148"/>
      <c r="B166" s="149"/>
      <c r="C166" s="197" t="s">
        <v>16</v>
      </c>
      <c r="D166" s="395" t="s">
        <v>36</v>
      </c>
      <c r="E166" s="151"/>
      <c r="F166" s="151"/>
      <c r="G166" s="152"/>
      <c r="H166" s="196"/>
      <c r="I166" s="45"/>
      <c r="J166" s="45"/>
      <c r="K166" s="46"/>
      <c r="L166" s="46"/>
      <c r="M166" s="46"/>
      <c r="N166" s="46"/>
      <c r="O166" s="46"/>
      <c r="P166" s="46"/>
    </row>
    <row r="167" spans="1:16" ht="18.75" x14ac:dyDescent="0.25">
      <c r="A167" s="136"/>
      <c r="B167" s="41"/>
      <c r="C167" s="41"/>
      <c r="D167" s="254" t="s">
        <v>63</v>
      </c>
      <c r="E167" s="41"/>
      <c r="F167" s="41"/>
      <c r="G167" s="43"/>
      <c r="H167" s="147" t="s">
        <v>33</v>
      </c>
      <c r="I167" s="169">
        <f ca="1">IFERROR(__xludf.DUMMYFUNCTION("IMPORTRANGE(""https://docs.google.com/spreadsheets/d/1eHaY18a8A9IcSdp1K8H6x8fbOy06t2VsZHhMHf-1x7Y/edit?usp=sharing"",""แผน!Z18"")"),15)</f>
        <v>15</v>
      </c>
      <c r="J167" s="250">
        <v>0</v>
      </c>
      <c r="K167" s="47">
        <f ca="1">IF(I167&gt;0,J167*100/I167,0)</f>
        <v>0</v>
      </c>
      <c r="L167" s="46"/>
      <c r="M167" s="46"/>
      <c r="N167" s="46"/>
      <c r="O167" s="46"/>
      <c r="P167" s="46"/>
    </row>
    <row r="168" spans="1:16" ht="18.75" hidden="1" x14ac:dyDescent="0.25">
      <c r="A168" s="136"/>
      <c r="B168" s="41"/>
      <c r="C168" s="41"/>
      <c r="D168" s="279" t="s">
        <v>64</v>
      </c>
      <c r="E168" s="41"/>
      <c r="F168" s="41"/>
      <c r="G168" s="43"/>
      <c r="H168" s="199" t="s">
        <v>33</v>
      </c>
      <c r="I168" s="200">
        <f ca="1">I167</f>
        <v>15</v>
      </c>
      <c r="J168" s="201">
        <v>0</v>
      </c>
      <c r="K168" s="50">
        <f ca="1">IF(I168&gt;0,J168*100/I168,0)</f>
        <v>0</v>
      </c>
      <c r="L168" s="46"/>
      <c r="M168" s="46"/>
      <c r="N168" s="46"/>
      <c r="O168" s="46"/>
      <c r="P168" s="46"/>
    </row>
    <row r="169" spans="1:16" ht="18.75" hidden="1" x14ac:dyDescent="0.25">
      <c r="A169" s="202"/>
      <c r="B169" s="1"/>
      <c r="C169" s="1"/>
      <c r="D169" s="203" t="s">
        <v>65</v>
      </c>
      <c r="E169" s="1"/>
      <c r="F169" s="1"/>
      <c r="G169" s="54"/>
      <c r="H169" s="204" t="s">
        <v>33</v>
      </c>
      <c r="I169" s="205">
        <f ca="1">I167</f>
        <v>15</v>
      </c>
      <c r="J169" s="206">
        <v>0</v>
      </c>
      <c r="K169" s="207">
        <f ca="1">IF(I169&gt;0,J169*100/I169,0)</f>
        <v>0</v>
      </c>
      <c r="L169" s="57"/>
      <c r="M169" s="57"/>
      <c r="N169" s="57"/>
      <c r="O169" s="57"/>
      <c r="P169" s="57"/>
    </row>
    <row r="170" spans="1:16" ht="19.5" x14ac:dyDescent="0.3">
      <c r="A170" s="208" t="s">
        <v>66</v>
      </c>
      <c r="B170" s="209"/>
      <c r="C170" s="209"/>
      <c r="D170" s="209"/>
      <c r="E170" s="210"/>
      <c r="F170" s="210"/>
      <c r="G170" s="210"/>
      <c r="H170" s="210"/>
      <c r="I170" s="211"/>
      <c r="J170" s="211"/>
      <c r="K170" s="212"/>
      <c r="L170" s="212"/>
      <c r="M170" s="212"/>
      <c r="N170" s="212"/>
      <c r="O170" s="212"/>
      <c r="P170" s="213"/>
    </row>
    <row r="171" spans="1:16" ht="19.5" x14ac:dyDescent="0.3">
      <c r="A171" s="214" t="s">
        <v>67</v>
      </c>
      <c r="B171" s="215"/>
      <c r="C171" s="215"/>
      <c r="D171" s="216"/>
      <c r="E171" s="216"/>
      <c r="F171" s="216"/>
      <c r="G171" s="216"/>
      <c r="H171" s="217"/>
      <c r="I171" s="218"/>
      <c r="J171" s="218"/>
      <c r="K171" s="219"/>
      <c r="L171" s="219"/>
      <c r="M171" s="219"/>
      <c r="N171" s="219"/>
      <c r="O171" s="219"/>
      <c r="P171" s="219"/>
    </row>
    <row r="172" spans="1:16" ht="19.5" x14ac:dyDescent="0.3">
      <c r="A172" s="220"/>
      <c r="B172" s="221" t="s">
        <v>68</v>
      </c>
      <c r="C172" s="222"/>
      <c r="D172" s="151"/>
      <c r="E172" s="151"/>
      <c r="F172" s="151"/>
      <c r="G172" s="152"/>
      <c r="H172" s="223" t="s">
        <v>33</v>
      </c>
      <c r="I172" s="224">
        <f ca="1">I183+I184</f>
        <v>7</v>
      </c>
      <c r="J172" s="224">
        <f>J183+J184</f>
        <v>0</v>
      </c>
      <c r="K172" s="225">
        <f ca="1">IF(I172&gt;0,J172*100/I172,0)</f>
        <v>0</v>
      </c>
      <c r="L172" s="226"/>
      <c r="M172" s="226"/>
      <c r="N172" s="226"/>
      <c r="O172" s="226"/>
      <c r="P172" s="226"/>
    </row>
    <row r="173" spans="1:16" ht="19.5" x14ac:dyDescent="0.3">
      <c r="A173" s="136"/>
      <c r="B173" s="41"/>
      <c r="C173" s="197" t="s">
        <v>16</v>
      </c>
      <c r="D173" s="397" t="s">
        <v>17</v>
      </c>
      <c r="E173" s="41"/>
      <c r="F173" s="41"/>
      <c r="G173" s="43"/>
      <c r="H173" s="139" t="s">
        <v>12</v>
      </c>
      <c r="I173" s="45"/>
      <c r="J173" s="45"/>
      <c r="K173" s="46"/>
      <c r="L173" s="140">
        <f ca="1">L174+L175</f>
        <v>19590</v>
      </c>
      <c r="M173" s="140">
        <f ca="1">M174+M175</f>
        <v>19590</v>
      </c>
      <c r="N173" s="140">
        <f ca="1">N174+N175</f>
        <v>18890</v>
      </c>
      <c r="O173" s="140">
        <f ca="1">IF(L173&gt;0,N173*100/L173,0)</f>
        <v>96.426748340990301</v>
      </c>
      <c r="P173" s="140">
        <f ca="1">IF(M173&gt;0,N173*100/M173,0)</f>
        <v>96.426748340990301</v>
      </c>
    </row>
    <row r="174" spans="1:16" ht="18.75" hidden="1" x14ac:dyDescent="0.25">
      <c r="A174" s="136"/>
      <c r="B174" s="41"/>
      <c r="C174" s="41"/>
      <c r="D174" s="41"/>
      <c r="E174" s="279" t="s">
        <v>18</v>
      </c>
      <c r="F174" s="41"/>
      <c r="G174" s="43"/>
      <c r="H174" s="141" t="s">
        <v>12</v>
      </c>
      <c r="I174" s="45"/>
      <c r="J174" s="45"/>
      <c r="K174" s="46"/>
      <c r="L174" s="50">
        <f>L177+L180</f>
        <v>0</v>
      </c>
      <c r="M174" s="50">
        <f>M177+M180</f>
        <v>0</v>
      </c>
      <c r="N174" s="50">
        <f>N177+N180</f>
        <v>0</v>
      </c>
      <c r="O174" s="50">
        <f>IF(L174&gt;0,N174*100/L174,0)</f>
        <v>0</v>
      </c>
      <c r="P174" s="50">
        <f>IF(M174&gt;0,N174*100/M174,0)</f>
        <v>0</v>
      </c>
    </row>
    <row r="175" spans="1:16" ht="18.75" x14ac:dyDescent="0.25">
      <c r="A175" s="136"/>
      <c r="B175" s="41"/>
      <c r="C175" s="41"/>
      <c r="D175" s="41"/>
      <c r="E175" s="254" t="s">
        <v>19</v>
      </c>
      <c r="F175" s="41"/>
      <c r="G175" s="43"/>
      <c r="H175" s="142" t="s">
        <v>12</v>
      </c>
      <c r="I175" s="45"/>
      <c r="J175" s="45"/>
      <c r="K175" s="46"/>
      <c r="L175" s="47">
        <f ca="1">L178+L181</f>
        <v>19590</v>
      </c>
      <c r="M175" s="47">
        <f ca="1">M178+M181</f>
        <v>19590</v>
      </c>
      <c r="N175" s="47">
        <f ca="1">N178+N181</f>
        <v>18890</v>
      </c>
      <c r="O175" s="47">
        <f ca="1">IF(L175&gt;0,N175*100/L175,0)</f>
        <v>96.426748340990301</v>
      </c>
      <c r="P175" s="47">
        <f ca="1">IF(M175&gt;0,N175*100/M175,0)</f>
        <v>96.426748340990301</v>
      </c>
    </row>
    <row r="176" spans="1:16" ht="18.75" x14ac:dyDescent="0.25">
      <c r="A176" s="136"/>
      <c r="B176" s="41"/>
      <c r="C176" s="41"/>
      <c r="D176" s="42" t="s">
        <v>20</v>
      </c>
      <c r="E176" s="41"/>
      <c r="F176" s="41"/>
      <c r="G176" s="43"/>
      <c r="H176" s="143" t="s">
        <v>12</v>
      </c>
      <c r="I176" s="144"/>
      <c r="J176" s="144"/>
      <c r="K176" s="145"/>
      <c r="L176" s="47">
        <f ca="1">L177+L178</f>
        <v>19590</v>
      </c>
      <c r="M176" s="47">
        <f ca="1">M177+M178</f>
        <v>19590</v>
      </c>
      <c r="N176" s="47">
        <f ca="1">N177+N178</f>
        <v>18890</v>
      </c>
      <c r="O176" s="47">
        <f ca="1">IF(L176&gt;0,N176*100/L176,0)</f>
        <v>96.426748340990301</v>
      </c>
      <c r="P176" s="47">
        <f ca="1">IF(M176&gt;0,N176*100/M176,0)</f>
        <v>96.426748340990301</v>
      </c>
    </row>
    <row r="177" spans="1:16" ht="18.75" hidden="1" x14ac:dyDescent="0.25">
      <c r="A177" s="136"/>
      <c r="B177" s="41"/>
      <c r="C177" s="41"/>
      <c r="D177" s="41"/>
      <c r="E177" s="279" t="s">
        <v>34</v>
      </c>
      <c r="F177" s="41"/>
      <c r="G177" s="43"/>
      <c r="H177" s="146" t="s">
        <v>12</v>
      </c>
      <c r="I177" s="144"/>
      <c r="J177" s="144"/>
      <c r="K177" s="145"/>
      <c r="L177" s="50">
        <v>0</v>
      </c>
      <c r="M177" s="50">
        <v>0</v>
      </c>
      <c r="N177" s="50">
        <v>0</v>
      </c>
      <c r="O177" s="50">
        <f>IF(L177&gt;0,N177*100/L177,0)</f>
        <v>0</v>
      </c>
      <c r="P177" s="50">
        <f>IF(M177&gt;0,N177*100/M177,0)</f>
        <v>0</v>
      </c>
    </row>
    <row r="178" spans="1:16" ht="18.75" x14ac:dyDescent="0.25">
      <c r="A178" s="136"/>
      <c r="B178" s="41"/>
      <c r="C178" s="41"/>
      <c r="D178" s="41"/>
      <c r="E178" s="254" t="s">
        <v>35</v>
      </c>
      <c r="F178" s="41"/>
      <c r="G178" s="43"/>
      <c r="H178" s="143" t="s">
        <v>12</v>
      </c>
      <c r="I178" s="144"/>
      <c r="J178" s="144"/>
      <c r="K178" s="145"/>
      <c r="L178" s="47">
        <f ca="1">IFERROR(__xludf.DUMMYFUNCTION("IMPORTRANGE(""https://docs.google.com/spreadsheets/d/1-uDff_7J0KD5mKrp0Vvzr7lt3OU09vwQwhkpOPPYv2Y/edit?usp=sharing"",""งบพรบ!CK18"")"),19590)</f>
        <v>19590</v>
      </c>
      <c r="M178" s="47">
        <f ca="1">IFERROR(__xludf.DUMMYFUNCTION("IMPORTRANGE(""https://docs.google.com/spreadsheets/d/1-uDff_7J0KD5mKrp0Vvzr7lt3OU09vwQwhkpOPPYv2Y/edit?usp=sharing"",""งบพรบ!CP18"")"),19590)</f>
        <v>19590</v>
      </c>
      <c r="N178" s="47">
        <f ca="1">IFERROR(__xludf.DUMMYFUNCTION("IMPORTRANGE(""https://docs.google.com/spreadsheets/d/1-uDff_7J0KD5mKrp0Vvzr7lt3OU09vwQwhkpOPPYv2Y/edit?usp=sharing"",""งบพรบ!CR18"")"),18890)</f>
        <v>18890</v>
      </c>
      <c r="O178" s="47">
        <f ca="1">IF(L178&gt;0,N178*100/L178,0)</f>
        <v>96.426748340990301</v>
      </c>
      <c r="P178" s="47">
        <f ca="1">IF(M178&gt;0,N178*100/M178,0)</f>
        <v>96.426748340990301</v>
      </c>
    </row>
    <row r="179" spans="1:16" ht="18.75" x14ac:dyDescent="0.25">
      <c r="A179" s="136"/>
      <c r="B179" s="41"/>
      <c r="C179" s="41"/>
      <c r="D179" s="42" t="s">
        <v>21</v>
      </c>
      <c r="E179" s="41"/>
      <c r="F179" s="41"/>
      <c r="G179" s="43"/>
      <c r="H179" s="147" t="s">
        <v>12</v>
      </c>
      <c r="I179" s="144"/>
      <c r="J179" s="144"/>
      <c r="K179" s="145"/>
      <c r="L179" s="47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</row>
    <row r="180" spans="1:16" ht="18.75" hidden="1" x14ac:dyDescent="0.25">
      <c r="A180" s="136"/>
      <c r="B180" s="41"/>
      <c r="C180" s="41"/>
      <c r="D180" s="41"/>
      <c r="E180" s="279" t="s">
        <v>18</v>
      </c>
      <c r="F180" s="41"/>
      <c r="G180" s="43"/>
      <c r="H180" s="146" t="s">
        <v>12</v>
      </c>
      <c r="I180" s="144"/>
      <c r="J180" s="144"/>
      <c r="K180" s="145"/>
      <c r="L180" s="50">
        <v>0</v>
      </c>
      <c r="M180" s="50">
        <v>0</v>
      </c>
      <c r="N180" s="50">
        <v>0</v>
      </c>
      <c r="O180" s="50">
        <f>IF(L180&gt;0,N180*100/L180,0)</f>
        <v>0</v>
      </c>
      <c r="P180" s="50">
        <f>IF(M180&gt;0,N180*100/M180,0)</f>
        <v>0</v>
      </c>
    </row>
    <row r="181" spans="1:16" ht="18.75" x14ac:dyDescent="0.25">
      <c r="A181" s="136"/>
      <c r="B181" s="41"/>
      <c r="C181" s="41"/>
      <c r="D181" s="41"/>
      <c r="E181" s="254" t="s">
        <v>19</v>
      </c>
      <c r="F181" s="41"/>
      <c r="G181" s="43"/>
      <c r="H181" s="147" t="s">
        <v>12</v>
      </c>
      <c r="I181" s="144"/>
      <c r="J181" s="144"/>
      <c r="K181" s="145"/>
      <c r="L181" s="47">
        <f ca="1">IFERROR(__xludf.DUMMYFUNCTION("IMPORTRANGE(""https://docs.google.com/spreadsheets/d/1-uDff_7J0KD5mKrp0Vvzr7lt3OU09vwQwhkpOPPYv2Y/edit?usp=sharing"",""งบพรบ!CN18"")"),0)</f>
        <v>0</v>
      </c>
      <c r="M181" s="47">
        <f ca="1">IFERROR(__xludf.DUMMYFUNCTION("IMPORTRANGE(""https://docs.google.com/spreadsheets/d/1-uDff_7J0KD5mKrp0Vvzr7lt3OU09vwQwhkpOPPYv2Y/edit?usp=sharing"",""งบพรบ!CQ18"")"),0)</f>
        <v>0</v>
      </c>
      <c r="N181" s="47">
        <f ca="1">IFERROR(__xludf.DUMMYFUNCTION("IMPORTRANGE(""https://docs.google.com/spreadsheets/d/1-uDff_7J0KD5mKrp0Vvzr7lt3OU09vwQwhkpOPPYv2Y/edit?usp=sharing"",""งบพรบ!CS18"")"),0)</f>
        <v>0</v>
      </c>
      <c r="O181" s="47">
        <f ca="1">IF(L181&gt;0,N181*100/L181,0)</f>
        <v>0</v>
      </c>
      <c r="P181" s="47">
        <f ca="1">IF(M181&gt;0,N181*100/M181,0)</f>
        <v>0</v>
      </c>
    </row>
    <row r="182" spans="1:16" ht="19.5" x14ac:dyDescent="0.3">
      <c r="A182" s="148"/>
      <c r="B182" s="149"/>
      <c r="C182" s="197" t="s">
        <v>16</v>
      </c>
      <c r="D182" s="395" t="s">
        <v>36</v>
      </c>
      <c r="E182" s="151"/>
      <c r="F182" s="151"/>
      <c r="G182" s="152"/>
      <c r="H182" s="196"/>
      <c r="I182" s="45"/>
      <c r="J182" s="45"/>
      <c r="K182" s="46"/>
      <c r="L182" s="46"/>
      <c r="M182" s="46"/>
      <c r="N182" s="46"/>
      <c r="O182" s="46"/>
      <c r="P182" s="46"/>
    </row>
    <row r="183" spans="1:16" ht="18.75" x14ac:dyDescent="0.25">
      <c r="A183" s="227"/>
      <c r="B183" s="41"/>
      <c r="C183" s="228"/>
      <c r="D183" s="229" t="s">
        <v>69</v>
      </c>
      <c r="E183" s="41"/>
      <c r="F183" s="41"/>
      <c r="G183" s="43"/>
      <c r="H183" s="230" t="s">
        <v>33</v>
      </c>
      <c r="I183" s="169">
        <f ca="1">IFERROR(__xludf.DUMMYFUNCTION("IMPORTRANGE(""https://docs.google.com/spreadsheets/d/1eHaY18a8A9IcSdp1K8H6x8fbOy06t2VsZHhMHf-1x7Y/edit?usp=sharing"",""แผน!AA18"")"),7)</f>
        <v>7</v>
      </c>
      <c r="J183" s="250">
        <v>0</v>
      </c>
      <c r="K183" s="47">
        <f ca="1">IF(I183&gt;0,J183*100/I183,0)</f>
        <v>0</v>
      </c>
      <c r="L183" s="46"/>
      <c r="M183" s="46"/>
      <c r="N183" s="46"/>
      <c r="O183" s="46"/>
      <c r="P183" s="46"/>
    </row>
    <row r="184" spans="1:16" ht="18.75" hidden="1" x14ac:dyDescent="0.25">
      <c r="A184" s="227"/>
      <c r="B184" s="228"/>
      <c r="C184" s="228"/>
      <c r="D184" s="231" t="s">
        <v>70</v>
      </c>
      <c r="E184" s="41"/>
      <c r="F184" s="41"/>
      <c r="G184" s="43"/>
      <c r="H184" s="232" t="s">
        <v>33</v>
      </c>
      <c r="I184" s="200">
        <v>0</v>
      </c>
      <c r="J184" s="200">
        <v>0</v>
      </c>
      <c r="K184" s="50">
        <f>IF(I184&gt;0,J184*100/I184,0)</f>
        <v>0</v>
      </c>
      <c r="L184" s="46"/>
      <c r="M184" s="46"/>
      <c r="N184" s="46"/>
      <c r="O184" s="46"/>
      <c r="P184" s="46"/>
    </row>
    <row r="185" spans="1:16" ht="19.5" x14ac:dyDescent="0.3">
      <c r="A185" s="220"/>
      <c r="B185" s="221" t="s">
        <v>71</v>
      </c>
      <c r="C185" s="222"/>
      <c r="D185" s="151"/>
      <c r="E185" s="151"/>
      <c r="F185" s="151"/>
      <c r="G185" s="152"/>
      <c r="H185" s="223" t="s">
        <v>33</v>
      </c>
      <c r="I185" s="224">
        <f ca="1">I230+I231</f>
        <v>0</v>
      </c>
      <c r="J185" s="224">
        <f>J230+J231</f>
        <v>0</v>
      </c>
      <c r="K185" s="225">
        <f ca="1">IF(I185&gt;0,J185*100/I185,0)</f>
        <v>0</v>
      </c>
      <c r="L185" s="226"/>
      <c r="M185" s="226"/>
      <c r="N185" s="226"/>
      <c r="O185" s="226"/>
      <c r="P185" s="226"/>
    </row>
    <row r="186" spans="1:16" ht="19.5" x14ac:dyDescent="0.3">
      <c r="A186" s="136"/>
      <c r="B186" s="41"/>
      <c r="C186" s="197" t="s">
        <v>16</v>
      </c>
      <c r="D186" s="397" t="s">
        <v>17</v>
      </c>
      <c r="E186" s="41"/>
      <c r="F186" s="41"/>
      <c r="G186" s="43"/>
      <c r="H186" s="139" t="s">
        <v>12</v>
      </c>
      <c r="I186" s="45"/>
      <c r="J186" s="45"/>
      <c r="K186" s="46"/>
      <c r="L186" s="140">
        <f ca="1">L187+L188</f>
        <v>161500</v>
      </c>
      <c r="M186" s="140">
        <f ca="1">M187+M188</f>
        <v>105500</v>
      </c>
      <c r="N186" s="140">
        <f ca="1">N187+N188</f>
        <v>9962</v>
      </c>
      <c r="O186" s="140">
        <f ca="1">IF(L186&gt;0,N186*100/L186,0)</f>
        <v>6.1684210526315786</v>
      </c>
      <c r="P186" s="140">
        <f ca="1">IF(M186&gt;0,N186*100/M186,0)</f>
        <v>9.442654028436019</v>
      </c>
    </row>
    <row r="187" spans="1:16" ht="18.75" hidden="1" x14ac:dyDescent="0.25">
      <c r="A187" s="136"/>
      <c r="B187" s="41"/>
      <c r="C187" s="41"/>
      <c r="D187" s="41"/>
      <c r="E187" s="279" t="s">
        <v>18</v>
      </c>
      <c r="F187" s="41"/>
      <c r="G187" s="43"/>
      <c r="H187" s="141" t="s">
        <v>12</v>
      </c>
      <c r="I187" s="45"/>
      <c r="J187" s="45"/>
      <c r="K187" s="46"/>
      <c r="L187" s="50">
        <f>L190+L193</f>
        <v>0</v>
      </c>
      <c r="M187" s="50">
        <f>M190+M193</f>
        <v>0</v>
      </c>
      <c r="N187" s="50">
        <f>N190+N193</f>
        <v>0</v>
      </c>
      <c r="O187" s="50">
        <f>IF(L187&gt;0,N187*100/L187,0)</f>
        <v>0</v>
      </c>
      <c r="P187" s="50">
        <f>IF(M187&gt;0,N187*100/M187,0)</f>
        <v>0</v>
      </c>
    </row>
    <row r="188" spans="1:16" ht="18.75" x14ac:dyDescent="0.25">
      <c r="A188" s="136"/>
      <c r="B188" s="41"/>
      <c r="C188" s="41"/>
      <c r="D188" s="41"/>
      <c r="E188" s="254" t="s">
        <v>19</v>
      </c>
      <c r="F188" s="41"/>
      <c r="G188" s="43"/>
      <c r="H188" s="142" t="s">
        <v>12</v>
      </c>
      <c r="I188" s="45"/>
      <c r="J188" s="45"/>
      <c r="K188" s="46"/>
      <c r="L188" s="47">
        <f ca="1">L191+L194</f>
        <v>161500</v>
      </c>
      <c r="M188" s="47">
        <f ca="1">M191+M194</f>
        <v>105500</v>
      </c>
      <c r="N188" s="47">
        <f ca="1">N191+N194</f>
        <v>9962</v>
      </c>
      <c r="O188" s="47">
        <f ca="1">IF(L188&gt;0,N188*100/L188,0)</f>
        <v>6.1684210526315786</v>
      </c>
      <c r="P188" s="47">
        <f ca="1">IF(M188&gt;0,N188*100/M188,0)</f>
        <v>9.442654028436019</v>
      </c>
    </row>
    <row r="189" spans="1:16" ht="18.75" x14ac:dyDescent="0.25">
      <c r="A189" s="136"/>
      <c r="B189" s="41"/>
      <c r="C189" s="41"/>
      <c r="D189" s="42" t="s">
        <v>20</v>
      </c>
      <c r="E189" s="41"/>
      <c r="F189" s="41"/>
      <c r="G189" s="43"/>
      <c r="H189" s="143" t="s">
        <v>12</v>
      </c>
      <c r="I189" s="144"/>
      <c r="J189" s="144"/>
      <c r="K189" s="145"/>
      <c r="L189" s="47">
        <f ca="1">L190+L191</f>
        <v>161500</v>
      </c>
      <c r="M189" s="47">
        <f ca="1">M190+M191</f>
        <v>105500</v>
      </c>
      <c r="N189" s="47">
        <f ca="1">N190+N191</f>
        <v>9962</v>
      </c>
      <c r="O189" s="47">
        <f ca="1">IF(L189&gt;0,N189*100/L189,0)</f>
        <v>6.1684210526315786</v>
      </c>
      <c r="P189" s="47">
        <f ca="1">IF(M189&gt;0,N189*100/M189,0)</f>
        <v>9.442654028436019</v>
      </c>
    </row>
    <row r="190" spans="1:16" ht="18.75" hidden="1" x14ac:dyDescent="0.25">
      <c r="A190" s="136"/>
      <c r="B190" s="41"/>
      <c r="C190" s="41"/>
      <c r="D190" s="41"/>
      <c r="E190" s="279" t="s">
        <v>34</v>
      </c>
      <c r="F190" s="41"/>
      <c r="G190" s="43"/>
      <c r="H190" s="146" t="s">
        <v>12</v>
      </c>
      <c r="I190" s="144"/>
      <c r="J190" s="144"/>
      <c r="K190" s="145"/>
      <c r="L190" s="50">
        <v>0</v>
      </c>
      <c r="M190" s="50">
        <v>0</v>
      </c>
      <c r="N190" s="50">
        <v>0</v>
      </c>
      <c r="O190" s="50">
        <f>IF(L190&gt;0,N190*100/L190,0)</f>
        <v>0</v>
      </c>
      <c r="P190" s="50">
        <f>IF(M190&gt;0,N190*100/M190,0)</f>
        <v>0</v>
      </c>
    </row>
    <row r="191" spans="1:16" ht="18.75" x14ac:dyDescent="0.25">
      <c r="A191" s="136"/>
      <c r="B191" s="41"/>
      <c r="C191" s="41"/>
      <c r="D191" s="41"/>
      <c r="E191" s="254" t="s">
        <v>35</v>
      </c>
      <c r="F191" s="41"/>
      <c r="G191" s="43"/>
      <c r="H191" s="143" t="s">
        <v>12</v>
      </c>
      <c r="I191" s="144"/>
      <c r="J191" s="144"/>
      <c r="K191" s="145"/>
      <c r="L191" s="47">
        <f ca="1">IFERROR(__xludf.DUMMYFUNCTION("IMPORTRANGE(""https://docs.google.com/spreadsheets/d/1-uDff_7J0KD5mKrp0Vvzr7lt3OU09vwQwhkpOPPYv2Y/edit?usp=sharing"",""งบพรบ!CU18"")"),161500)</f>
        <v>161500</v>
      </c>
      <c r="M191" s="47">
        <f ca="1">IFERROR(__xludf.DUMMYFUNCTION("IMPORTRANGE(""https://docs.google.com/spreadsheets/d/1-uDff_7J0KD5mKrp0Vvzr7lt3OU09vwQwhkpOPPYv2Y/edit?usp=sharing"",""งบพรบ!CZ18"")"),105500)</f>
        <v>105500</v>
      </c>
      <c r="N191" s="47">
        <f ca="1">IFERROR(__xludf.DUMMYFUNCTION("IMPORTRANGE(""https://docs.google.com/spreadsheets/d/1-uDff_7J0KD5mKrp0Vvzr7lt3OU09vwQwhkpOPPYv2Y/edit?usp=sharing"",""งบพรบ!DB18"")"),9962)</f>
        <v>9962</v>
      </c>
      <c r="O191" s="47">
        <f ca="1">IF(L191&gt;0,N191*100/L191,0)</f>
        <v>6.1684210526315786</v>
      </c>
      <c r="P191" s="47">
        <f ca="1">IF(M191&gt;0,N191*100/M191,0)</f>
        <v>9.442654028436019</v>
      </c>
    </row>
    <row r="192" spans="1:16" ht="18.75" x14ac:dyDescent="0.25">
      <c r="A192" s="136"/>
      <c r="B192" s="41"/>
      <c r="C192" s="41"/>
      <c r="D192" s="42" t="s">
        <v>21</v>
      </c>
      <c r="E192" s="41"/>
      <c r="F192" s="41"/>
      <c r="G192" s="43"/>
      <c r="H192" s="147" t="s">
        <v>12</v>
      </c>
      <c r="I192" s="144"/>
      <c r="J192" s="144"/>
      <c r="K192" s="145"/>
      <c r="L192" s="47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</row>
    <row r="193" spans="1:16" ht="18.75" hidden="1" x14ac:dyDescent="0.25">
      <c r="A193" s="136"/>
      <c r="B193" s="41"/>
      <c r="C193" s="41"/>
      <c r="D193" s="41"/>
      <c r="E193" s="279" t="s">
        <v>18</v>
      </c>
      <c r="F193" s="41"/>
      <c r="G193" s="43"/>
      <c r="H193" s="146" t="s">
        <v>12</v>
      </c>
      <c r="I193" s="144"/>
      <c r="J193" s="144"/>
      <c r="K193" s="145"/>
      <c r="L193" s="50">
        <v>0</v>
      </c>
      <c r="M193" s="50">
        <v>0</v>
      </c>
      <c r="N193" s="50">
        <v>0</v>
      </c>
      <c r="O193" s="50">
        <f>IF(L193&gt;0,N193*100/L193,0)</f>
        <v>0</v>
      </c>
      <c r="P193" s="50">
        <f>IF(M193&gt;0,N193*100/M193,0)</f>
        <v>0</v>
      </c>
    </row>
    <row r="194" spans="1:16" ht="18.75" x14ac:dyDescent="0.25">
      <c r="A194" s="136"/>
      <c r="B194" s="41"/>
      <c r="C194" s="41"/>
      <c r="D194" s="41"/>
      <c r="E194" s="254" t="s">
        <v>19</v>
      </c>
      <c r="F194" s="41"/>
      <c r="G194" s="43"/>
      <c r="H194" s="147" t="s">
        <v>12</v>
      </c>
      <c r="I194" s="144"/>
      <c r="J194" s="144"/>
      <c r="K194" s="145"/>
      <c r="L194" s="47">
        <f ca="1">IFERROR(__xludf.DUMMYFUNCTION("IMPORTRANGE(""https://docs.google.com/spreadsheets/d/1-uDff_7J0KD5mKrp0Vvzr7lt3OU09vwQwhkpOPPYv2Y/edit?usp=sharing"",""งบพรบ!CX18"")"),0)</f>
        <v>0</v>
      </c>
      <c r="M194" s="47">
        <f ca="1">IFERROR(__xludf.DUMMYFUNCTION("IMPORTRANGE(""https://docs.google.com/spreadsheets/d/1-uDff_7J0KD5mKrp0Vvzr7lt3OU09vwQwhkpOPPYv2Y/edit?usp=sharing"",""งบพรบ!DA18"")"),0)</f>
        <v>0</v>
      </c>
      <c r="N194" s="47">
        <f ca="1">IFERROR(__xludf.DUMMYFUNCTION("IMPORTRANGE(""https://docs.google.com/spreadsheets/d/1-uDff_7J0KD5mKrp0Vvzr7lt3OU09vwQwhkpOPPYv2Y/edit?usp=sharing"",""งบพรบ!DC18"")"),0)</f>
        <v>0</v>
      </c>
      <c r="O194" s="47">
        <f ca="1">IF(L194&gt;0,N194*100/L194,0)</f>
        <v>0</v>
      </c>
      <c r="P194" s="47">
        <f ca="1">IF(M194&gt;0,N194*100/M194,0)</f>
        <v>0</v>
      </c>
    </row>
    <row r="195" spans="1:16" ht="19.5" x14ac:dyDescent="0.3">
      <c r="A195" s="233"/>
      <c r="B195" s="234"/>
      <c r="C195" s="235" t="s">
        <v>72</v>
      </c>
      <c r="D195" s="236"/>
      <c r="E195" s="236"/>
      <c r="F195" s="236"/>
      <c r="G195" s="237"/>
      <c r="H195" s="238" t="s">
        <v>73</v>
      </c>
      <c r="I195" s="239">
        <f ca="1">I198</f>
        <v>4</v>
      </c>
      <c r="J195" s="239">
        <f>J198</f>
        <v>0</v>
      </c>
      <c r="K195" s="240">
        <f ca="1">IF(I195&gt;0,J195*100/I195,0)</f>
        <v>0</v>
      </c>
      <c r="L195" s="241"/>
      <c r="M195" s="241"/>
      <c r="N195" s="241"/>
      <c r="O195" s="241"/>
      <c r="P195" s="241"/>
    </row>
    <row r="196" spans="1:16" ht="19.5" x14ac:dyDescent="0.3">
      <c r="A196" s="136"/>
      <c r="B196" s="41"/>
      <c r="C196" s="197" t="s">
        <v>16</v>
      </c>
      <c r="D196" s="400" t="s">
        <v>17</v>
      </c>
      <c r="E196" s="41"/>
      <c r="F196" s="41"/>
      <c r="G196" s="43"/>
      <c r="H196" s="243" t="s">
        <v>12</v>
      </c>
      <c r="I196" s="45"/>
      <c r="J196" s="45"/>
      <c r="K196" s="46"/>
      <c r="L196" s="140">
        <f ca="1">IFERROR(__xludf.DUMMYFUNCTION("IMPORTRANGE(""https://docs.google.com/spreadsheets/d/1eHaY18a8A9IcSdp1K8H6x8fbOy06t2VsZHhMHf-1x7Y/edit?usp=sharing"",""แผน!AB18"")"),6000)</f>
        <v>6000</v>
      </c>
      <c r="M196" s="46"/>
      <c r="N196" s="244">
        <v>0</v>
      </c>
      <c r="O196" s="140">
        <f ca="1">IF(L196&gt;0,N196*100/L196,0)</f>
        <v>0</v>
      </c>
      <c r="P196" s="140">
        <f>IF(M196&gt;0,N196*100/M196,0)</f>
        <v>0</v>
      </c>
    </row>
    <row r="197" spans="1:16" ht="19.5" x14ac:dyDescent="0.3">
      <c r="A197" s="148"/>
      <c r="B197" s="149"/>
      <c r="C197" s="197" t="s">
        <v>16</v>
      </c>
      <c r="D197" s="395" t="s">
        <v>36</v>
      </c>
      <c r="E197" s="151"/>
      <c r="F197" s="151"/>
      <c r="G197" s="152"/>
      <c r="H197" s="153"/>
      <c r="I197" s="45"/>
      <c r="J197" s="45"/>
      <c r="K197" s="46"/>
      <c r="L197" s="46"/>
      <c r="M197" s="46"/>
      <c r="N197" s="46"/>
      <c r="O197" s="46"/>
      <c r="P197" s="46"/>
    </row>
    <row r="198" spans="1:16" ht="18.75" x14ac:dyDescent="0.25">
      <c r="A198" s="148"/>
      <c r="B198" s="149"/>
      <c r="C198" s="149"/>
      <c r="D198" s="159" t="s">
        <v>74</v>
      </c>
      <c r="E198" s="155"/>
      <c r="F198" s="155"/>
      <c r="G198" s="153"/>
      <c r="H198" s="251" t="s">
        <v>73</v>
      </c>
      <c r="I198" s="169">
        <f ca="1">IFERROR(__xludf.DUMMYFUNCTION("IMPORTRANGE(""https://docs.google.com/spreadsheets/d/1eHaY18a8A9IcSdp1K8H6x8fbOy06t2VsZHhMHf-1x7Y/edit?usp=sharing"",""แผน!AE18"")"),4)</f>
        <v>4</v>
      </c>
      <c r="J198" s="250">
        <v>0</v>
      </c>
      <c r="K198" s="47">
        <f ca="1">IF(I198&gt;0,J198*100/I198,0)</f>
        <v>0</v>
      </c>
      <c r="L198" s="46"/>
      <c r="M198" s="46"/>
      <c r="N198" s="46"/>
      <c r="O198" s="46"/>
      <c r="P198" s="46"/>
    </row>
    <row r="199" spans="1:16" ht="18.75" x14ac:dyDescent="0.25">
      <c r="A199" s="148"/>
      <c r="B199" s="149"/>
      <c r="C199" s="149"/>
      <c r="D199" s="159" t="s">
        <v>75</v>
      </c>
      <c r="E199" s="155"/>
      <c r="F199" s="155"/>
      <c r="G199" s="153"/>
      <c r="H199" s="230" t="s">
        <v>33</v>
      </c>
      <c r="I199" s="45"/>
      <c r="J199" s="169">
        <f>J200+J201</f>
        <v>0</v>
      </c>
      <c r="K199" s="46"/>
      <c r="L199" s="46"/>
      <c r="M199" s="46"/>
      <c r="N199" s="46"/>
      <c r="O199" s="46"/>
      <c r="P199" s="46"/>
    </row>
    <row r="200" spans="1:16" ht="18.75" x14ac:dyDescent="0.25">
      <c r="A200" s="148"/>
      <c r="B200" s="149"/>
      <c r="C200" s="149"/>
      <c r="D200" s="149"/>
      <c r="E200" s="159" t="s">
        <v>76</v>
      </c>
      <c r="F200" s="155"/>
      <c r="G200" s="153"/>
      <c r="H200" s="230" t="s">
        <v>33</v>
      </c>
      <c r="I200" s="45"/>
      <c r="J200" s="250">
        <v>0</v>
      </c>
      <c r="K200" s="46"/>
      <c r="L200" s="46"/>
      <c r="M200" s="46"/>
      <c r="N200" s="46"/>
      <c r="O200" s="46"/>
      <c r="P200" s="46"/>
    </row>
    <row r="201" spans="1:16" ht="18.75" x14ac:dyDescent="0.25">
      <c r="A201" s="148"/>
      <c r="B201" s="149"/>
      <c r="C201" s="149"/>
      <c r="D201" s="149"/>
      <c r="E201" s="159" t="s">
        <v>77</v>
      </c>
      <c r="F201" s="155"/>
      <c r="G201" s="153"/>
      <c r="H201" s="230" t="s">
        <v>33</v>
      </c>
      <c r="I201" s="45"/>
      <c r="J201" s="250">
        <v>0</v>
      </c>
      <c r="K201" s="46"/>
      <c r="L201" s="46"/>
      <c r="M201" s="46"/>
      <c r="N201" s="46"/>
      <c r="O201" s="46"/>
      <c r="P201" s="46"/>
    </row>
    <row r="202" spans="1:16" ht="19.5" x14ac:dyDescent="0.3">
      <c r="A202" s="233"/>
      <c r="B202" s="234"/>
      <c r="C202" s="235" t="s">
        <v>78</v>
      </c>
      <c r="D202" s="236"/>
      <c r="E202" s="236"/>
      <c r="F202" s="236"/>
      <c r="G202" s="237"/>
      <c r="H202" s="245" t="s">
        <v>79</v>
      </c>
      <c r="I202" s="239">
        <f ca="1">I209</f>
        <v>4</v>
      </c>
      <c r="J202" s="239">
        <f>J209</f>
        <v>0</v>
      </c>
      <c r="K202" s="240">
        <f ca="1">IF(I202&gt;0,J202*100/I202,0)</f>
        <v>0</v>
      </c>
      <c r="L202" s="241"/>
      <c r="M202" s="241"/>
      <c r="N202" s="241"/>
      <c r="O202" s="241"/>
      <c r="P202" s="241"/>
    </row>
    <row r="203" spans="1:16" ht="19.5" x14ac:dyDescent="0.3">
      <c r="A203" s="136"/>
      <c r="B203" s="41"/>
      <c r="C203" s="197" t="s">
        <v>16</v>
      </c>
      <c r="D203" s="400" t="s">
        <v>17</v>
      </c>
      <c r="E203" s="41"/>
      <c r="F203" s="41"/>
      <c r="G203" s="43"/>
      <c r="H203" s="243" t="s">
        <v>12</v>
      </c>
      <c r="I203" s="144"/>
      <c r="J203" s="144"/>
      <c r="K203" s="145"/>
      <c r="L203" s="140">
        <f ca="1">L204+L205+L206+L207</f>
        <v>52000</v>
      </c>
      <c r="M203" s="46"/>
      <c r="N203" s="140">
        <f>N204+N205+N206+N207</f>
        <v>0</v>
      </c>
      <c r="O203" s="140">
        <f ca="1">IF(L203&gt;0,N203*100/L203,0)</f>
        <v>0</v>
      </c>
      <c r="P203" s="140">
        <f>IF(M203&gt;0,N203*100/M203,0)</f>
        <v>0</v>
      </c>
    </row>
    <row r="204" spans="1:16" ht="18.75" x14ac:dyDescent="0.25">
      <c r="A204" s="136"/>
      <c r="B204" s="228"/>
      <c r="C204" s="41"/>
      <c r="D204" s="253" t="s">
        <v>153</v>
      </c>
      <c r="E204" s="41"/>
      <c r="F204" s="41"/>
      <c r="G204" s="43"/>
      <c r="H204" s="143" t="s">
        <v>12</v>
      </c>
      <c r="I204" s="144"/>
      <c r="J204" s="144"/>
      <c r="K204" s="145"/>
      <c r="L204" s="47">
        <f ca="1">IFERROR(__xludf.DUMMYFUNCTION("IMPORTRANGE(""https://docs.google.com/spreadsheets/d/1eHaY18a8A9IcSdp1K8H6x8fbOy06t2VsZHhMHf-1x7Y/edit?usp=sharing"",""แผน!AG18"")"),4000)</f>
        <v>4000</v>
      </c>
      <c r="M204" s="46"/>
      <c r="N204" s="248">
        <v>0</v>
      </c>
      <c r="O204" s="145"/>
      <c r="P204" s="46"/>
    </row>
    <row r="205" spans="1:16" ht="18.75" x14ac:dyDescent="0.25">
      <c r="A205" s="227"/>
      <c r="B205" s="228"/>
      <c r="C205" s="41"/>
      <c r="D205" s="254" t="s">
        <v>81</v>
      </c>
      <c r="E205" s="41"/>
      <c r="F205" s="41"/>
      <c r="G205" s="43"/>
      <c r="H205" s="44" t="s">
        <v>12</v>
      </c>
      <c r="I205" s="45"/>
      <c r="J205" s="45"/>
      <c r="K205" s="46"/>
      <c r="L205" s="47">
        <f ca="1">IFERROR(__xludf.DUMMYFUNCTION("IMPORTRANGE(""https://docs.google.com/spreadsheets/d/1eHaY18a8A9IcSdp1K8H6x8fbOy06t2VsZHhMHf-1x7Y/edit?usp=sharing"",""แผน!AH18"")"),0)</f>
        <v>0</v>
      </c>
      <c r="M205" s="46"/>
      <c r="N205" s="248">
        <v>0</v>
      </c>
      <c r="O205" s="145"/>
      <c r="P205" s="46"/>
    </row>
    <row r="206" spans="1:16" ht="18.75" x14ac:dyDescent="0.25">
      <c r="A206" s="227"/>
      <c r="B206" s="228"/>
      <c r="C206" s="41"/>
      <c r="D206" s="254" t="s">
        <v>82</v>
      </c>
      <c r="E206" s="41"/>
      <c r="F206" s="41"/>
      <c r="G206" s="43"/>
      <c r="H206" s="44" t="s">
        <v>12</v>
      </c>
      <c r="I206" s="45"/>
      <c r="J206" s="45"/>
      <c r="K206" s="46"/>
      <c r="L206" s="47">
        <f ca="1">IFERROR(__xludf.DUMMYFUNCTION("IMPORTRANGE(""https://docs.google.com/spreadsheets/d/1eHaY18a8A9IcSdp1K8H6x8fbOy06t2VsZHhMHf-1x7Y/edit?usp=sharing"",""แผน!AI18"")"),32000)</f>
        <v>32000</v>
      </c>
      <c r="M206" s="46"/>
      <c r="N206" s="248">
        <v>0</v>
      </c>
      <c r="O206" s="145"/>
      <c r="P206" s="46"/>
    </row>
    <row r="207" spans="1:16" ht="18.75" x14ac:dyDescent="0.25">
      <c r="A207" s="227"/>
      <c r="B207" s="228"/>
      <c r="C207" s="41"/>
      <c r="D207" s="254" t="s">
        <v>83</v>
      </c>
      <c r="E207" s="41"/>
      <c r="F207" s="41"/>
      <c r="G207" s="43"/>
      <c r="H207" s="44" t="s">
        <v>12</v>
      </c>
      <c r="I207" s="45"/>
      <c r="J207" s="45"/>
      <c r="K207" s="46"/>
      <c r="L207" s="47">
        <f ca="1">IFERROR(__xludf.DUMMYFUNCTION("IMPORTRANGE(""https://docs.google.com/spreadsheets/d/1eHaY18a8A9IcSdp1K8H6x8fbOy06t2VsZHhMHf-1x7Y/edit?usp=sharing"",""แผน!AJ18"")"),16000)</f>
        <v>16000</v>
      </c>
      <c r="M207" s="46"/>
      <c r="N207" s="248">
        <v>0</v>
      </c>
      <c r="O207" s="145"/>
      <c r="P207" s="46"/>
    </row>
    <row r="208" spans="1:16" ht="19.5" x14ac:dyDescent="0.3">
      <c r="A208" s="148"/>
      <c r="B208" s="149"/>
      <c r="C208" s="197" t="s">
        <v>16</v>
      </c>
      <c r="D208" s="395" t="s">
        <v>36</v>
      </c>
      <c r="E208" s="151"/>
      <c r="F208" s="151"/>
      <c r="G208" s="152"/>
      <c r="H208" s="153"/>
      <c r="I208" s="144"/>
      <c r="J208" s="144"/>
      <c r="K208" s="145"/>
      <c r="L208" s="145"/>
      <c r="M208" s="145"/>
      <c r="N208" s="145"/>
      <c r="O208" s="145"/>
      <c r="P208" s="145"/>
    </row>
    <row r="209" spans="1:16" ht="18.75" x14ac:dyDescent="0.25">
      <c r="A209" s="148"/>
      <c r="B209" s="149"/>
      <c r="C209" s="149"/>
      <c r="D209" s="154" t="s">
        <v>84</v>
      </c>
      <c r="E209" s="155"/>
      <c r="F209" s="155"/>
      <c r="G209" s="153"/>
      <c r="H209" s="249" t="s">
        <v>79</v>
      </c>
      <c r="I209" s="169">
        <f ca="1">IFERROR(__xludf.DUMMYFUNCTION("IMPORTRANGE(""https://docs.google.com/spreadsheets/d/1eHaY18a8A9IcSdp1K8H6x8fbOy06t2VsZHhMHf-1x7Y/edit?usp=sharing"",""แผน!AK18"")"),4)</f>
        <v>4</v>
      </c>
      <c r="J209" s="250">
        <v>0</v>
      </c>
      <c r="K209" s="163">
        <f ca="1">IF(I209&gt;0,J209*100/I209,0)</f>
        <v>0</v>
      </c>
      <c r="L209" s="46"/>
      <c r="M209" s="46"/>
      <c r="N209" s="46"/>
      <c r="O209" s="46"/>
      <c r="P209" s="46"/>
    </row>
    <row r="210" spans="1:16" ht="18.75" x14ac:dyDescent="0.25">
      <c r="A210" s="148"/>
      <c r="B210" s="149"/>
      <c r="C210" s="149"/>
      <c r="D210" s="159" t="s">
        <v>48</v>
      </c>
      <c r="E210" s="155"/>
      <c r="F210" s="155"/>
      <c r="G210" s="153"/>
      <c r="H210" s="153"/>
      <c r="I210" s="45"/>
      <c r="J210" s="45"/>
      <c r="K210" s="145"/>
      <c r="L210" s="46"/>
      <c r="M210" s="46"/>
      <c r="N210" s="46"/>
      <c r="O210" s="46"/>
      <c r="P210" s="46"/>
    </row>
    <row r="211" spans="1:16" ht="18.75" x14ac:dyDescent="0.25">
      <c r="A211" s="148"/>
      <c r="B211" s="149"/>
      <c r="C211" s="149"/>
      <c r="D211" s="155"/>
      <c r="E211" s="159" t="s">
        <v>85</v>
      </c>
      <c r="F211" s="155"/>
      <c r="G211" s="153"/>
      <c r="H211" s="249" t="s">
        <v>79</v>
      </c>
      <c r="I211" s="169">
        <f ca="1">IFERROR(__xludf.DUMMYFUNCTION("IMPORTRANGE(""https://docs.google.com/spreadsheets/d/1eHaY18a8A9IcSdp1K8H6x8fbOy06t2VsZHhMHf-1x7Y/edit?usp=sharing"",""แผน!AK18"")"),4)</f>
        <v>4</v>
      </c>
      <c r="J211" s="250">
        <v>0</v>
      </c>
      <c r="K211" s="163">
        <f ca="1">IF(I211&gt;0,J211*100/I211,0)</f>
        <v>0</v>
      </c>
      <c r="L211" s="46"/>
      <c r="M211" s="46"/>
      <c r="N211" s="46"/>
      <c r="O211" s="46"/>
      <c r="P211" s="46"/>
    </row>
    <row r="212" spans="1:16" ht="18.75" x14ac:dyDescent="0.25">
      <c r="A212" s="148"/>
      <c r="B212" s="149"/>
      <c r="C212" s="149"/>
      <c r="D212" s="155"/>
      <c r="E212" s="159" t="s">
        <v>86</v>
      </c>
      <c r="F212" s="155"/>
      <c r="G212" s="155"/>
      <c r="H212" s="251" t="s">
        <v>87</v>
      </c>
      <c r="I212" s="169">
        <f ca="1">IFERROR(__xludf.DUMMYFUNCTION("IMPORTRANGE(""https://docs.google.com/spreadsheets/d/1eHaY18a8A9IcSdp1K8H6x8fbOy06t2VsZHhMHf-1x7Y/edit?usp=sharing"",""แผน!AK18"")"),4)</f>
        <v>4</v>
      </c>
      <c r="J212" s="250">
        <v>0</v>
      </c>
      <c r="K212" s="163">
        <f ca="1">IF(I212&gt;0,J212*100/I212,0)</f>
        <v>0</v>
      </c>
      <c r="L212" s="46"/>
      <c r="M212" s="46"/>
      <c r="N212" s="46"/>
      <c r="O212" s="46"/>
      <c r="P212" s="46"/>
    </row>
    <row r="213" spans="1:16" ht="19.5" hidden="1" x14ac:dyDescent="0.3">
      <c r="A213" s="233"/>
      <c r="B213" s="234"/>
      <c r="C213" s="235" t="s">
        <v>88</v>
      </c>
      <c r="D213" s="236"/>
      <c r="E213" s="236"/>
      <c r="F213" s="236"/>
      <c r="G213" s="237"/>
      <c r="H213" s="245" t="s">
        <v>79</v>
      </c>
      <c r="I213" s="239">
        <f ca="1">I220</f>
        <v>0</v>
      </c>
      <c r="J213" s="239">
        <f>J220</f>
        <v>0</v>
      </c>
      <c r="K213" s="240">
        <f ca="1">IF(I213&gt;0,J213*100/I213,0)</f>
        <v>0</v>
      </c>
      <c r="L213" s="241"/>
      <c r="M213" s="241"/>
      <c r="N213" s="241"/>
      <c r="O213" s="241"/>
      <c r="P213" s="241"/>
    </row>
    <row r="214" spans="1:16" ht="19.5" hidden="1" x14ac:dyDescent="0.3">
      <c r="A214" s="136"/>
      <c r="B214" s="41"/>
      <c r="C214" s="197" t="s">
        <v>16</v>
      </c>
      <c r="D214" s="400" t="s">
        <v>17</v>
      </c>
      <c r="E214" s="41"/>
      <c r="F214" s="41"/>
      <c r="G214" s="43"/>
      <c r="H214" s="243" t="s">
        <v>12</v>
      </c>
      <c r="I214" s="144"/>
      <c r="J214" s="144"/>
      <c r="K214" s="145"/>
      <c r="L214" s="140">
        <f ca="1">L215+L216+L217</f>
        <v>0</v>
      </c>
      <c r="M214" s="46"/>
      <c r="N214" s="140">
        <f>N215+N216+N217</f>
        <v>0</v>
      </c>
      <c r="O214" s="140">
        <f ca="1">IF(L214&gt;0,N214*100/L214,0)</f>
        <v>0</v>
      </c>
      <c r="P214" s="140">
        <f>IF(M214&gt;0,N214*100/M214,0)</f>
        <v>0</v>
      </c>
    </row>
    <row r="215" spans="1:16" ht="18.75" hidden="1" x14ac:dyDescent="0.25">
      <c r="A215" s="136"/>
      <c r="B215" s="228"/>
      <c r="C215" s="41"/>
      <c r="D215" s="254" t="s">
        <v>80</v>
      </c>
      <c r="E215" s="41"/>
      <c r="F215" s="41"/>
      <c r="G215" s="43"/>
      <c r="H215" s="143" t="s">
        <v>12</v>
      </c>
      <c r="I215" s="144"/>
      <c r="J215" s="144"/>
      <c r="K215" s="145"/>
      <c r="L215" s="47">
        <f ca="1">IFERROR(__xludf.DUMMYFUNCTION("IMPORTRANGE(""https://docs.google.com/spreadsheets/d/1eHaY18a8A9IcSdp1K8H6x8fbOy06t2VsZHhMHf-1x7Y/edit?usp=sharing"",""แผน!AM18"")"),0)</f>
        <v>0</v>
      </c>
      <c r="M215" s="46"/>
      <c r="N215" s="248">
        <v>0</v>
      </c>
      <c r="O215" s="145"/>
      <c r="P215" s="46"/>
    </row>
    <row r="216" spans="1:16" ht="18.75" hidden="1" x14ac:dyDescent="0.25">
      <c r="A216" s="227"/>
      <c r="B216" s="228"/>
      <c r="C216" s="228"/>
      <c r="D216" s="254" t="s">
        <v>89</v>
      </c>
      <c r="E216" s="41"/>
      <c r="F216" s="41"/>
      <c r="G216" s="43"/>
      <c r="H216" s="143" t="s">
        <v>12</v>
      </c>
      <c r="I216" s="45"/>
      <c r="J216" s="45"/>
      <c r="K216" s="46"/>
      <c r="L216" s="47">
        <f ca="1">IFERROR(__xludf.DUMMYFUNCTION("IMPORTRANGE(""https://docs.google.com/spreadsheets/d/1eHaY18a8A9IcSdp1K8H6x8fbOy06t2VsZHhMHf-1x7Y/edit?usp=sharing"",""แผน!AN18"")"),0)</f>
        <v>0</v>
      </c>
      <c r="M216" s="46"/>
      <c r="N216" s="248">
        <v>0</v>
      </c>
      <c r="O216" s="145"/>
      <c r="P216" s="46"/>
    </row>
    <row r="217" spans="1:16" ht="18.75" hidden="1" x14ac:dyDescent="0.25">
      <c r="A217" s="227"/>
      <c r="B217" s="228"/>
      <c r="C217" s="228"/>
      <c r="D217" s="254" t="s">
        <v>82</v>
      </c>
      <c r="E217" s="41"/>
      <c r="F217" s="41"/>
      <c r="G217" s="43"/>
      <c r="H217" s="143" t="s">
        <v>12</v>
      </c>
      <c r="I217" s="45"/>
      <c r="J217" s="45"/>
      <c r="K217" s="46"/>
      <c r="L217" s="47">
        <f ca="1">IFERROR(__xludf.DUMMYFUNCTION("IMPORTRANGE(""https://docs.google.com/spreadsheets/d/1eHaY18a8A9IcSdp1K8H6x8fbOy06t2VsZHhMHf-1x7Y/edit?usp=sharing"",""แผน!AO18"")"),0)</f>
        <v>0</v>
      </c>
      <c r="M217" s="46"/>
      <c r="N217" s="248">
        <v>0</v>
      </c>
      <c r="O217" s="145"/>
      <c r="P217" s="46"/>
    </row>
    <row r="218" spans="1:16" ht="19.5" hidden="1" x14ac:dyDescent="0.3">
      <c r="A218" s="148"/>
      <c r="B218" s="149"/>
      <c r="C218" s="252" t="s">
        <v>16</v>
      </c>
      <c r="D218" s="395" t="s">
        <v>36</v>
      </c>
      <c r="E218" s="151"/>
      <c r="F218" s="151"/>
      <c r="G218" s="152"/>
      <c r="H218" s="153"/>
      <c r="I218" s="144"/>
      <c r="J218" s="45"/>
      <c r="K218" s="46"/>
      <c r="L218" s="46"/>
      <c r="M218" s="46"/>
      <c r="N218" s="46"/>
      <c r="O218" s="145"/>
      <c r="P218" s="145"/>
    </row>
    <row r="219" spans="1:16" ht="18.75" hidden="1" x14ac:dyDescent="0.25">
      <c r="A219" s="148"/>
      <c r="B219" s="149"/>
      <c r="C219" s="149"/>
      <c r="D219" s="154" t="s">
        <v>90</v>
      </c>
      <c r="E219" s="155"/>
      <c r="F219" s="155"/>
      <c r="G219" s="153"/>
      <c r="H219" s="249" t="s">
        <v>79</v>
      </c>
      <c r="I219" s="169">
        <f ca="1">IFERROR(__xludf.DUMMYFUNCTION("IMPORTRANGE(""https://docs.google.com/spreadsheets/d/1eHaY18a8A9IcSdp1K8H6x8fbOy06t2VsZHhMHf-1x7Y/edit?usp=sharing"",""แผน!AP18"")"),0)</f>
        <v>0</v>
      </c>
      <c r="J219" s="250">
        <v>0</v>
      </c>
      <c r="K219" s="47">
        <f ca="1">IF(I219&gt;0,J219*100/I219,0)</f>
        <v>0</v>
      </c>
      <c r="L219" s="46"/>
      <c r="M219" s="46"/>
      <c r="N219" s="46"/>
      <c r="O219" s="46"/>
      <c r="P219" s="46"/>
    </row>
    <row r="220" spans="1:16" ht="18.75" hidden="1" x14ac:dyDescent="0.25">
      <c r="A220" s="148"/>
      <c r="B220" s="149"/>
      <c r="C220" s="149"/>
      <c r="D220" s="154" t="s">
        <v>91</v>
      </c>
      <c r="E220" s="155"/>
      <c r="F220" s="155"/>
      <c r="G220" s="153"/>
      <c r="H220" s="249" t="s">
        <v>79</v>
      </c>
      <c r="I220" s="169">
        <f ca="1">IFERROR(__xludf.DUMMYFUNCTION("IMPORTRANGE(""https://docs.google.com/spreadsheets/d/1eHaY18a8A9IcSdp1K8H6x8fbOy06t2VsZHhMHf-1x7Y/edit?usp=sharing"",""แผน!AP18"")"),0)</f>
        <v>0</v>
      </c>
      <c r="J220" s="250">
        <v>0</v>
      </c>
      <c r="K220" s="47">
        <f ca="1">IF(I220&gt;0,J220*100/I220,0)</f>
        <v>0</v>
      </c>
      <c r="L220" s="46"/>
      <c r="M220" s="46"/>
      <c r="N220" s="46"/>
      <c r="O220" s="46"/>
      <c r="P220" s="46"/>
    </row>
    <row r="221" spans="1:16" ht="19.5" x14ac:dyDescent="0.3">
      <c r="A221" s="233"/>
      <c r="B221" s="234"/>
      <c r="C221" s="235" t="s">
        <v>92</v>
      </c>
      <c r="D221" s="236"/>
      <c r="E221" s="236"/>
      <c r="F221" s="236"/>
      <c r="G221" s="237"/>
      <c r="H221" s="238" t="s">
        <v>93</v>
      </c>
      <c r="I221" s="239">
        <f ca="1">I229</f>
        <v>100000</v>
      </c>
      <c r="J221" s="239">
        <f>J229</f>
        <v>0</v>
      </c>
      <c r="K221" s="240">
        <f ca="1">IF(I221&gt;0,J221*100/I221,0)</f>
        <v>0</v>
      </c>
      <c r="L221" s="241"/>
      <c r="M221" s="241"/>
      <c r="N221" s="241"/>
      <c r="O221" s="241"/>
      <c r="P221" s="241"/>
    </row>
    <row r="222" spans="1:16" ht="19.5" x14ac:dyDescent="0.3">
      <c r="A222" s="136"/>
      <c r="B222" s="41"/>
      <c r="C222" s="197" t="s">
        <v>16</v>
      </c>
      <c r="D222" s="400" t="s">
        <v>17</v>
      </c>
      <c r="E222" s="41"/>
      <c r="F222" s="41"/>
      <c r="G222" s="43"/>
      <c r="H222" s="243" t="s">
        <v>12</v>
      </c>
      <c r="I222" s="144"/>
      <c r="J222" s="144"/>
      <c r="K222" s="145"/>
      <c r="L222" s="140">
        <f ca="1">L223+L224+L225</f>
        <v>12500</v>
      </c>
      <c r="M222" s="46"/>
      <c r="N222" s="140">
        <f>N223+N224+N225</f>
        <v>0</v>
      </c>
      <c r="O222" s="140">
        <f ca="1">IF(L222&gt;0,N222*100/L222,0)</f>
        <v>0</v>
      </c>
      <c r="P222" s="140">
        <f>IF(M222&gt;0,N222*100/M222,0)</f>
        <v>0</v>
      </c>
    </row>
    <row r="223" spans="1:16" ht="18.75" x14ac:dyDescent="0.25">
      <c r="A223" s="136"/>
      <c r="B223" s="228"/>
      <c r="C223" s="41"/>
      <c r="D223" s="253" t="s">
        <v>94</v>
      </c>
      <c r="E223" s="41"/>
      <c r="F223" s="41"/>
      <c r="G223" s="43"/>
      <c r="H223" s="143" t="s">
        <v>12</v>
      </c>
      <c r="I223" s="144"/>
      <c r="J223" s="144"/>
      <c r="K223" s="145"/>
      <c r="L223" s="47">
        <f ca="1">IFERROR(__xludf.DUMMYFUNCTION("IMPORTRANGE(""https://docs.google.com/spreadsheets/d/1eHaY18a8A9IcSdp1K8H6x8fbOy06t2VsZHhMHf-1x7Y/edit?usp=sharing"",""แผน!AR18"")"),11000)</f>
        <v>11000</v>
      </c>
      <c r="M223" s="46"/>
      <c r="N223" s="248">
        <v>0</v>
      </c>
      <c r="O223" s="145"/>
      <c r="P223" s="46"/>
    </row>
    <row r="224" spans="1:16" ht="18.75" x14ac:dyDescent="0.25">
      <c r="A224" s="227"/>
      <c r="B224" s="228"/>
      <c r="C224" s="228"/>
      <c r="D224" s="254" t="s">
        <v>95</v>
      </c>
      <c r="E224" s="41"/>
      <c r="F224" s="41"/>
      <c r="G224" s="43"/>
      <c r="H224" s="143" t="s">
        <v>12</v>
      </c>
      <c r="I224" s="45"/>
      <c r="J224" s="45"/>
      <c r="K224" s="46"/>
      <c r="L224" s="47">
        <f ca="1">IFERROR(__xludf.DUMMYFUNCTION("IMPORTRANGE(""https://docs.google.com/spreadsheets/d/1eHaY18a8A9IcSdp1K8H6x8fbOy06t2VsZHhMHf-1x7Y/edit?usp=sharing"",""แผน!AS18"")"),1500)</f>
        <v>1500</v>
      </c>
      <c r="M224" s="46"/>
      <c r="N224" s="248">
        <v>0</v>
      </c>
      <c r="O224" s="145"/>
      <c r="P224" s="46"/>
    </row>
    <row r="225" spans="1:16" ht="18.75" x14ac:dyDescent="0.25">
      <c r="A225" s="227"/>
      <c r="B225" s="228"/>
      <c r="C225" s="228"/>
      <c r="D225" s="254" t="s">
        <v>82</v>
      </c>
      <c r="E225" s="41"/>
      <c r="F225" s="41"/>
      <c r="G225" s="43"/>
      <c r="H225" s="143" t="s">
        <v>12</v>
      </c>
      <c r="I225" s="45"/>
      <c r="J225" s="45"/>
      <c r="K225" s="46"/>
      <c r="L225" s="47">
        <f ca="1">IFERROR(__xludf.DUMMYFUNCTION("IMPORTRANGE(""https://docs.google.com/spreadsheets/d/1eHaY18a8A9IcSdp1K8H6x8fbOy06t2VsZHhMHf-1x7Y/edit?usp=sharing"",""แผน!AT18"")"),0)</f>
        <v>0</v>
      </c>
      <c r="M225" s="46"/>
      <c r="N225" s="248">
        <v>0</v>
      </c>
      <c r="O225" s="145"/>
      <c r="P225" s="46"/>
    </row>
    <row r="226" spans="1:16" ht="19.5" x14ac:dyDescent="0.3">
      <c r="A226" s="148"/>
      <c r="B226" s="149"/>
      <c r="C226" s="252" t="s">
        <v>16</v>
      </c>
      <c r="D226" s="395" t="s">
        <v>36</v>
      </c>
      <c r="E226" s="151"/>
      <c r="F226" s="151"/>
      <c r="G226" s="152"/>
      <c r="H226" s="153"/>
      <c r="I226" s="144"/>
      <c r="J226" s="144"/>
      <c r="K226" s="145"/>
      <c r="L226" s="145"/>
      <c r="M226" s="145"/>
      <c r="N226" s="145"/>
      <c r="O226" s="145"/>
      <c r="P226" s="145"/>
    </row>
    <row r="227" spans="1:16" ht="18.75" x14ac:dyDescent="0.25">
      <c r="A227" s="148"/>
      <c r="B227" s="149"/>
      <c r="C227" s="149"/>
      <c r="D227" s="254" t="s">
        <v>96</v>
      </c>
      <c r="E227" s="155"/>
      <c r="F227" s="155"/>
      <c r="G227" s="153"/>
      <c r="H227" s="153"/>
      <c r="I227" s="45"/>
      <c r="J227" s="45"/>
      <c r="K227" s="145"/>
      <c r="L227" s="145"/>
      <c r="M227" s="145"/>
      <c r="N227" s="145"/>
      <c r="O227" s="145"/>
      <c r="P227" s="145"/>
    </row>
    <row r="228" spans="1:16" ht="18.75" x14ac:dyDescent="0.25">
      <c r="A228" s="148"/>
      <c r="B228" s="149"/>
      <c r="C228" s="149"/>
      <c r="D228" s="149"/>
      <c r="E228" s="154" t="s">
        <v>97</v>
      </c>
      <c r="F228" s="155"/>
      <c r="G228" s="153"/>
      <c r="H228" s="251" t="s">
        <v>93</v>
      </c>
      <c r="I228" s="169">
        <f ca="1">IFERROR(__xludf.DUMMYFUNCTION("IMPORTRANGE(""https://docs.google.com/spreadsheets/d/1eHaY18a8A9IcSdp1K8H6x8fbOy06t2VsZHhMHf-1x7Y/edit?usp=sharing"",""แผน!AV18"")"),100000)</f>
        <v>100000</v>
      </c>
      <c r="J228" s="250">
        <v>0</v>
      </c>
      <c r="K228" s="163">
        <f ca="1">IF(I228&gt;0,J228*100/I228,0)</f>
        <v>0</v>
      </c>
      <c r="L228" s="145"/>
      <c r="M228" s="145"/>
      <c r="N228" s="145"/>
      <c r="O228" s="145"/>
      <c r="P228" s="145"/>
    </row>
    <row r="229" spans="1:16" ht="18.75" x14ac:dyDescent="0.25">
      <c r="A229" s="148"/>
      <c r="B229" s="149"/>
      <c r="C229" s="149"/>
      <c r="D229" s="149"/>
      <c r="E229" s="154" t="s">
        <v>98</v>
      </c>
      <c r="F229" s="155"/>
      <c r="G229" s="153"/>
      <c r="H229" s="251" t="s">
        <v>93</v>
      </c>
      <c r="I229" s="169">
        <f ca="1">IFERROR(__xludf.DUMMYFUNCTION("IMPORTRANGE(""https://docs.google.com/spreadsheets/d/1eHaY18a8A9IcSdp1K8H6x8fbOy06t2VsZHhMHf-1x7Y/edit?usp=sharing"",""แผน!AV18"")"),100000)</f>
        <v>100000</v>
      </c>
      <c r="J229" s="250">
        <v>0</v>
      </c>
      <c r="K229" s="163">
        <f ca="1">IF(I229&gt;0,J229*100/I229,0)</f>
        <v>0</v>
      </c>
      <c r="L229" s="46"/>
      <c r="M229" s="46"/>
      <c r="N229" s="46"/>
      <c r="O229" s="46"/>
      <c r="P229" s="46"/>
    </row>
    <row r="230" spans="1:16" ht="18.75" x14ac:dyDescent="0.25">
      <c r="A230" s="148"/>
      <c r="B230" s="149"/>
      <c r="C230" s="149"/>
      <c r="D230" s="254" t="s">
        <v>99</v>
      </c>
      <c r="E230" s="155"/>
      <c r="F230" s="155"/>
      <c r="G230" s="153"/>
      <c r="H230" s="251" t="s">
        <v>33</v>
      </c>
      <c r="I230" s="169">
        <f ca="1">IFERROR(__xludf.DUMMYFUNCTION("IMPORTRANGE(""https://docs.google.com/spreadsheets/d/1eHaY18a8A9IcSdp1K8H6x8fbOy06t2VsZHhMHf-1x7Y/edit?usp=sharing"",""แผน!AU18"")"),0)</f>
        <v>0</v>
      </c>
      <c r="J230" s="250">
        <v>0</v>
      </c>
      <c r="K230" s="163">
        <f ca="1">IF(I230&gt;0,J230*100/I230,0)</f>
        <v>0</v>
      </c>
      <c r="L230" s="46"/>
      <c r="M230" s="46"/>
      <c r="N230" s="46"/>
      <c r="O230" s="46"/>
      <c r="P230" s="46"/>
    </row>
    <row r="231" spans="1:16" ht="19.5" hidden="1" x14ac:dyDescent="0.3">
      <c r="A231" s="233"/>
      <c r="B231" s="234"/>
      <c r="C231" s="235" t="s">
        <v>100</v>
      </c>
      <c r="D231" s="236"/>
      <c r="E231" s="236"/>
      <c r="F231" s="236"/>
      <c r="G231" s="237"/>
      <c r="H231" s="238" t="s">
        <v>33</v>
      </c>
      <c r="I231" s="239">
        <f ca="1">I242+I253</f>
        <v>0</v>
      </c>
      <c r="J231" s="239">
        <f>J242+J253</f>
        <v>0</v>
      </c>
      <c r="K231" s="240">
        <f ca="1">IF(I231&gt;0,J231*100/I231,0)</f>
        <v>0</v>
      </c>
      <c r="L231" s="241"/>
      <c r="M231" s="241"/>
      <c r="N231" s="241"/>
      <c r="O231" s="241"/>
      <c r="P231" s="241"/>
    </row>
    <row r="232" spans="1:16" ht="19.5" hidden="1" x14ac:dyDescent="0.3">
      <c r="A232" s="136"/>
      <c r="B232" s="41"/>
      <c r="C232" s="197" t="s">
        <v>16</v>
      </c>
      <c r="D232" s="397" t="s">
        <v>17</v>
      </c>
      <c r="E232" s="41"/>
      <c r="F232" s="41"/>
      <c r="G232" s="43"/>
      <c r="H232" s="243" t="s">
        <v>12</v>
      </c>
      <c r="I232" s="144"/>
      <c r="J232" s="144"/>
      <c r="K232" s="145"/>
      <c r="L232" s="140">
        <f ca="1">L243+L254</f>
        <v>0</v>
      </c>
      <c r="M232" s="46"/>
      <c r="N232" s="140">
        <f>N243+N254</f>
        <v>0</v>
      </c>
      <c r="O232" s="46"/>
      <c r="P232" s="46"/>
    </row>
    <row r="233" spans="1:16" ht="18.75" hidden="1" x14ac:dyDescent="0.25">
      <c r="A233" s="136"/>
      <c r="B233" s="228"/>
      <c r="C233" s="41"/>
      <c r="D233" s="254" t="s">
        <v>80</v>
      </c>
      <c r="E233" s="41"/>
      <c r="F233" s="41"/>
      <c r="G233" s="43"/>
      <c r="H233" s="143" t="s">
        <v>12</v>
      </c>
      <c r="I233" s="144"/>
      <c r="J233" s="144"/>
      <c r="K233" s="145"/>
      <c r="L233" s="47">
        <f ca="1">L244+L255</f>
        <v>0</v>
      </c>
      <c r="M233" s="46"/>
      <c r="N233" s="47">
        <f>N244+N255</f>
        <v>0</v>
      </c>
      <c r="O233" s="46"/>
      <c r="P233" s="46"/>
    </row>
    <row r="234" spans="1:16" ht="18.75" hidden="1" x14ac:dyDescent="0.25">
      <c r="A234" s="227"/>
      <c r="B234" s="228"/>
      <c r="C234" s="228"/>
      <c r="D234" s="254" t="s">
        <v>82</v>
      </c>
      <c r="E234" s="41"/>
      <c r="F234" s="41"/>
      <c r="G234" s="43"/>
      <c r="H234" s="143" t="s">
        <v>12</v>
      </c>
      <c r="I234" s="45"/>
      <c r="J234" s="45"/>
      <c r="K234" s="46"/>
      <c r="L234" s="47">
        <f ca="1">L245+L256</f>
        <v>0</v>
      </c>
      <c r="M234" s="46"/>
      <c r="N234" s="47">
        <f>N245+N256</f>
        <v>0</v>
      </c>
      <c r="O234" s="46"/>
      <c r="P234" s="46"/>
    </row>
    <row r="235" spans="1:16" ht="18.75" hidden="1" x14ac:dyDescent="0.25">
      <c r="A235" s="227"/>
      <c r="B235" s="228"/>
      <c r="C235" s="228"/>
      <c r="D235" s="254" t="s">
        <v>101</v>
      </c>
      <c r="E235" s="41"/>
      <c r="F235" s="41"/>
      <c r="G235" s="43"/>
      <c r="H235" s="143" t="s">
        <v>12</v>
      </c>
      <c r="I235" s="45"/>
      <c r="J235" s="45"/>
      <c r="K235" s="46"/>
      <c r="L235" s="47">
        <f ca="1">L246+L257</f>
        <v>0</v>
      </c>
      <c r="M235" s="46"/>
      <c r="N235" s="47">
        <f>N246+N257</f>
        <v>0</v>
      </c>
      <c r="O235" s="46"/>
      <c r="P235" s="46"/>
    </row>
    <row r="236" spans="1:16" ht="18.75" hidden="1" x14ac:dyDescent="0.25">
      <c r="A236" s="227"/>
      <c r="B236" s="228"/>
      <c r="C236" s="228"/>
      <c r="D236" s="254" t="s">
        <v>102</v>
      </c>
      <c r="E236" s="41"/>
      <c r="F236" s="41"/>
      <c r="G236" s="43"/>
      <c r="H236" s="143" t="s">
        <v>12</v>
      </c>
      <c r="I236" s="45"/>
      <c r="J236" s="45"/>
      <c r="K236" s="46"/>
      <c r="L236" s="47">
        <f ca="1">L247+L258</f>
        <v>0</v>
      </c>
      <c r="M236" s="46"/>
      <c r="N236" s="47">
        <f>N247+N258</f>
        <v>0</v>
      </c>
      <c r="O236" s="46"/>
      <c r="P236" s="46"/>
    </row>
    <row r="237" spans="1:16" ht="19.5" hidden="1" x14ac:dyDescent="0.3">
      <c r="A237" s="148"/>
      <c r="B237" s="149"/>
      <c r="C237" s="252" t="s">
        <v>16</v>
      </c>
      <c r="D237" s="395" t="s">
        <v>36</v>
      </c>
      <c r="E237" s="151"/>
      <c r="F237" s="151"/>
      <c r="G237" s="152"/>
      <c r="H237" s="153"/>
      <c r="I237" s="144"/>
      <c r="J237" s="45"/>
      <c r="K237" s="46"/>
      <c r="L237" s="46"/>
      <c r="M237" s="46"/>
      <c r="N237" s="46"/>
      <c r="O237" s="145"/>
      <c r="P237" s="145"/>
    </row>
    <row r="238" spans="1:16" ht="18.75" hidden="1" x14ac:dyDescent="0.25">
      <c r="A238" s="148"/>
      <c r="B238" s="149"/>
      <c r="C238" s="149"/>
      <c r="D238" s="159" t="s">
        <v>103</v>
      </c>
      <c r="E238" s="155"/>
      <c r="F238" s="155"/>
      <c r="G238" s="153"/>
      <c r="H238" s="251" t="s">
        <v>33</v>
      </c>
      <c r="I238" s="169">
        <f ca="1">I249+I260</f>
        <v>0</v>
      </c>
      <c r="J238" s="169">
        <f>J249+J260</f>
        <v>0</v>
      </c>
      <c r="K238" s="47">
        <f ca="1">IF(I238&gt;0,J238*100/I238,0)</f>
        <v>0</v>
      </c>
      <c r="L238" s="46"/>
      <c r="M238" s="46"/>
      <c r="N238" s="46"/>
      <c r="O238" s="46"/>
      <c r="P238" s="46"/>
    </row>
    <row r="239" spans="1:16" ht="18.75" hidden="1" x14ac:dyDescent="0.25">
      <c r="A239" s="148"/>
      <c r="B239" s="149"/>
      <c r="C239" s="149"/>
      <c r="D239" s="255" t="s">
        <v>41</v>
      </c>
      <c r="E239" s="155"/>
      <c r="F239" s="155"/>
      <c r="G239" s="153"/>
      <c r="H239" s="153"/>
      <c r="I239" s="45"/>
      <c r="J239" s="45"/>
      <c r="K239" s="46"/>
      <c r="L239" s="46"/>
      <c r="M239" s="46"/>
      <c r="N239" s="46"/>
      <c r="O239" s="145"/>
      <c r="P239" s="145"/>
    </row>
    <row r="240" spans="1:16" ht="18.75" hidden="1" x14ac:dyDescent="0.25">
      <c r="A240" s="148"/>
      <c r="B240" s="149"/>
      <c r="C240" s="149"/>
      <c r="D240" s="149"/>
      <c r="E240" s="154" t="s">
        <v>104</v>
      </c>
      <c r="F240" s="155"/>
      <c r="G240" s="153"/>
      <c r="H240" s="251" t="s">
        <v>33</v>
      </c>
      <c r="I240" s="169">
        <f>I251+I262</f>
        <v>0</v>
      </c>
      <c r="J240" s="169">
        <f>J251+J262</f>
        <v>0</v>
      </c>
      <c r="K240" s="47">
        <f>IF(I240&gt;0,J240*100/I240,0)</f>
        <v>0</v>
      </c>
      <c r="L240" s="46"/>
      <c r="M240" s="46"/>
      <c r="N240" s="46"/>
      <c r="O240" s="46"/>
      <c r="P240" s="46"/>
    </row>
    <row r="241" spans="1:16" ht="18.75" hidden="1" x14ac:dyDescent="0.25">
      <c r="A241" s="148"/>
      <c r="B241" s="149"/>
      <c r="C241" s="149"/>
      <c r="D241" s="149"/>
      <c r="E241" s="154" t="s">
        <v>105</v>
      </c>
      <c r="F241" s="155"/>
      <c r="G241" s="153"/>
      <c r="H241" s="251" t="s">
        <v>54</v>
      </c>
      <c r="I241" s="169">
        <f>I252+I263</f>
        <v>0</v>
      </c>
      <c r="J241" s="169">
        <f>J252+J263</f>
        <v>0</v>
      </c>
      <c r="K241" s="47">
        <f>IF(I241&gt;0,J241*100/I241,0)</f>
        <v>0</v>
      </c>
      <c r="L241" s="46"/>
      <c r="M241" s="46"/>
      <c r="N241" s="46"/>
      <c r="O241" s="46"/>
      <c r="P241" s="46"/>
    </row>
    <row r="242" spans="1:16" ht="19.5" hidden="1" x14ac:dyDescent="0.3">
      <c r="A242" s="233"/>
      <c r="B242" s="234"/>
      <c r="C242" s="256" t="s">
        <v>106</v>
      </c>
      <c r="D242" s="236"/>
      <c r="E242" s="236"/>
      <c r="F242" s="236"/>
      <c r="G242" s="237"/>
      <c r="H242" s="257" t="s">
        <v>33</v>
      </c>
      <c r="I242" s="258">
        <f ca="1">I249</f>
        <v>0</v>
      </c>
      <c r="J242" s="258">
        <f>J249</f>
        <v>0</v>
      </c>
      <c r="K242" s="259">
        <f ca="1">IF(I242&gt;0,J242*100/I242,0)</f>
        <v>0</v>
      </c>
      <c r="L242" s="241"/>
      <c r="M242" s="241"/>
      <c r="N242" s="241"/>
      <c r="O242" s="241"/>
      <c r="P242" s="241"/>
    </row>
    <row r="243" spans="1:16" ht="19.5" hidden="1" x14ac:dyDescent="0.3">
      <c r="A243" s="136"/>
      <c r="B243" s="41"/>
      <c r="C243" s="260" t="s">
        <v>16</v>
      </c>
      <c r="D243" s="261" t="s">
        <v>17</v>
      </c>
      <c r="E243" s="41"/>
      <c r="F243" s="41"/>
      <c r="G243" s="43"/>
      <c r="H243" s="262" t="s">
        <v>12</v>
      </c>
      <c r="I243" s="144"/>
      <c r="J243" s="144"/>
      <c r="K243" s="145"/>
      <c r="L243" s="263">
        <f ca="1">L244+L245+L246+L247</f>
        <v>0</v>
      </c>
      <c r="M243" s="46"/>
      <c r="N243" s="263">
        <f>N244+N245+N246+N247</f>
        <v>0</v>
      </c>
      <c r="O243" s="263">
        <f ca="1">IF(L243&gt;0,N243*100/L243,0)</f>
        <v>0</v>
      </c>
      <c r="P243" s="263">
        <f>IF(M243&gt;0,N243*100/M243,0)</f>
        <v>0</v>
      </c>
    </row>
    <row r="244" spans="1:16" ht="18.75" hidden="1" x14ac:dyDescent="0.25">
      <c r="A244" s="136"/>
      <c r="B244" s="228"/>
      <c r="C244" s="41"/>
      <c r="D244" s="279" t="s">
        <v>80</v>
      </c>
      <c r="E244" s="41"/>
      <c r="F244" s="41"/>
      <c r="G244" s="43"/>
      <c r="H244" s="146" t="s">
        <v>12</v>
      </c>
      <c r="I244" s="144"/>
      <c r="J244" s="144"/>
      <c r="K244" s="145"/>
      <c r="L244" s="50">
        <f ca="1">IFERROR(__xludf.DUMMYFUNCTION("IMPORTRANGE(""https://docs.google.com/spreadsheets/d/1eHaY18a8A9IcSdp1K8H6x8fbOy06t2VsZHhMHf-1x7Y/edit?usp=sharing"",""แผน!AX18"")"),0)</f>
        <v>0</v>
      </c>
      <c r="M244" s="46"/>
      <c r="N244" s="264">
        <v>0</v>
      </c>
      <c r="O244" s="46"/>
      <c r="P244" s="46"/>
    </row>
    <row r="245" spans="1:16" ht="18.75" hidden="1" x14ac:dyDescent="0.25">
      <c r="A245" s="227"/>
      <c r="B245" s="228"/>
      <c r="C245" s="228"/>
      <c r="D245" s="279" t="s">
        <v>82</v>
      </c>
      <c r="E245" s="41"/>
      <c r="F245" s="41"/>
      <c r="G245" s="43"/>
      <c r="H245" s="146" t="s">
        <v>12</v>
      </c>
      <c r="I245" s="45"/>
      <c r="J245" s="45"/>
      <c r="K245" s="46"/>
      <c r="L245" s="50">
        <f ca="1">IFERROR(__xludf.DUMMYFUNCTION("IMPORTRANGE(""https://docs.google.com/spreadsheets/d/1eHaY18a8A9IcSdp1K8H6x8fbOy06t2VsZHhMHf-1x7Y/edit?usp=sharing"",""แผน!AY18"")"),0)</f>
        <v>0</v>
      </c>
      <c r="M245" s="46"/>
      <c r="N245" s="264">
        <v>0</v>
      </c>
      <c r="O245" s="46"/>
      <c r="P245" s="46"/>
    </row>
    <row r="246" spans="1:16" ht="18.75" hidden="1" x14ac:dyDescent="0.25">
      <c r="A246" s="227"/>
      <c r="B246" s="228"/>
      <c r="C246" s="228"/>
      <c r="D246" s="279" t="s">
        <v>101</v>
      </c>
      <c r="E246" s="41"/>
      <c r="F246" s="41"/>
      <c r="G246" s="43"/>
      <c r="H246" s="146" t="s">
        <v>12</v>
      </c>
      <c r="I246" s="45"/>
      <c r="J246" s="45"/>
      <c r="K246" s="46"/>
      <c r="L246" s="50">
        <f ca="1">IFERROR(__xludf.DUMMYFUNCTION("IMPORTRANGE(""https://docs.google.com/spreadsheets/d/1eHaY18a8A9IcSdp1K8H6x8fbOy06t2VsZHhMHf-1x7Y/edit?usp=sharing"",""แผน!AZ18"")"),0)</f>
        <v>0</v>
      </c>
      <c r="M246" s="46"/>
      <c r="N246" s="264">
        <v>0</v>
      </c>
      <c r="O246" s="46"/>
      <c r="P246" s="46"/>
    </row>
    <row r="247" spans="1:16" ht="18.75" hidden="1" x14ac:dyDescent="0.25">
      <c r="A247" s="227"/>
      <c r="B247" s="228"/>
      <c r="C247" s="228"/>
      <c r="D247" s="279" t="s">
        <v>102</v>
      </c>
      <c r="E247" s="41"/>
      <c r="F247" s="41"/>
      <c r="G247" s="43"/>
      <c r="H247" s="146" t="s">
        <v>12</v>
      </c>
      <c r="I247" s="45"/>
      <c r="J247" s="45"/>
      <c r="K247" s="46"/>
      <c r="L247" s="50">
        <f ca="1">IFERROR(__xludf.DUMMYFUNCTION("IMPORTRANGE(""https://docs.google.com/spreadsheets/d/1eHaY18a8A9IcSdp1K8H6x8fbOy06t2VsZHhMHf-1x7Y/edit?usp=sharing"",""แผน!BA18"")"),0)</f>
        <v>0</v>
      </c>
      <c r="M247" s="46"/>
      <c r="N247" s="264">
        <v>0</v>
      </c>
      <c r="O247" s="46"/>
      <c r="P247" s="46"/>
    </row>
    <row r="248" spans="1:16" ht="19.5" hidden="1" x14ac:dyDescent="0.3">
      <c r="A248" s="148"/>
      <c r="B248" s="149"/>
      <c r="C248" s="265" t="s">
        <v>16</v>
      </c>
      <c r="D248" s="394" t="s">
        <v>36</v>
      </c>
      <c r="E248" s="151"/>
      <c r="F248" s="151"/>
      <c r="G248" s="152"/>
      <c r="H248" s="153"/>
      <c r="I248" s="144"/>
      <c r="J248" s="45"/>
      <c r="K248" s="46"/>
      <c r="L248" s="46"/>
      <c r="M248" s="46"/>
      <c r="N248" s="46"/>
      <c r="O248" s="145"/>
      <c r="P248" s="145"/>
    </row>
    <row r="249" spans="1:16" ht="18.75" hidden="1" x14ac:dyDescent="0.25">
      <c r="A249" s="148"/>
      <c r="B249" s="149"/>
      <c r="C249" s="149"/>
      <c r="D249" s="267" t="s">
        <v>103</v>
      </c>
      <c r="E249" s="155"/>
      <c r="F249" s="155"/>
      <c r="G249" s="153"/>
      <c r="H249" s="268" t="s">
        <v>33</v>
      </c>
      <c r="I249" s="200">
        <f ca="1">IFERROR(__xludf.DUMMYFUNCTION("IMPORTRANGE(""https://docs.google.com/spreadsheets/d/1eHaY18a8A9IcSdp1K8H6x8fbOy06t2VsZHhMHf-1x7Y/edit?usp=sharing"",""แผน!BG18"")"),0)</f>
        <v>0</v>
      </c>
      <c r="J249" s="201">
        <v>0</v>
      </c>
      <c r="K249" s="50">
        <f ca="1">IF(I249&gt;0,J249*100/I249,0)</f>
        <v>0</v>
      </c>
      <c r="L249" s="46"/>
      <c r="M249" s="46"/>
      <c r="N249" s="46"/>
      <c r="O249" s="46"/>
      <c r="P249" s="46"/>
    </row>
    <row r="250" spans="1:16" ht="18.75" hidden="1" x14ac:dyDescent="0.25">
      <c r="A250" s="148"/>
      <c r="B250" s="149"/>
      <c r="C250" s="149"/>
      <c r="D250" s="269" t="s">
        <v>41</v>
      </c>
      <c r="E250" s="155"/>
      <c r="F250" s="155"/>
      <c r="G250" s="153"/>
      <c r="H250" s="153"/>
      <c r="I250" s="45"/>
      <c r="J250" s="45"/>
      <c r="K250" s="46"/>
      <c r="L250" s="46"/>
      <c r="M250" s="46"/>
      <c r="N250" s="46"/>
      <c r="O250" s="145"/>
      <c r="P250" s="145"/>
    </row>
    <row r="251" spans="1:16" ht="18.75" hidden="1" x14ac:dyDescent="0.25">
      <c r="A251" s="148"/>
      <c r="B251" s="149"/>
      <c r="C251" s="149"/>
      <c r="D251" s="149"/>
      <c r="E251" s="270" t="s">
        <v>104</v>
      </c>
      <c r="F251" s="155"/>
      <c r="G251" s="153"/>
      <c r="H251" s="268" t="s">
        <v>33</v>
      </c>
      <c r="I251" s="200">
        <v>0</v>
      </c>
      <c r="J251" s="201">
        <v>0</v>
      </c>
      <c r="K251" s="50">
        <f>IF(I251&gt;0,J251*100/I251,0)</f>
        <v>0</v>
      </c>
      <c r="L251" s="46"/>
      <c r="M251" s="46"/>
      <c r="N251" s="46"/>
      <c r="O251" s="46"/>
      <c r="P251" s="46"/>
    </row>
    <row r="252" spans="1:16" ht="18.75" hidden="1" x14ac:dyDescent="0.25">
      <c r="A252" s="148"/>
      <c r="B252" s="149"/>
      <c r="C252" s="149"/>
      <c r="D252" s="149"/>
      <c r="E252" s="270" t="s">
        <v>105</v>
      </c>
      <c r="F252" s="155"/>
      <c r="G252" s="153"/>
      <c r="H252" s="268" t="s">
        <v>54</v>
      </c>
      <c r="I252" s="200">
        <v>0</v>
      </c>
      <c r="J252" s="201">
        <v>0</v>
      </c>
      <c r="K252" s="50">
        <f>IF(I252&gt;0,J252*100/I252,0)</f>
        <v>0</v>
      </c>
      <c r="L252" s="46"/>
      <c r="M252" s="46"/>
      <c r="N252" s="46"/>
      <c r="O252" s="46"/>
      <c r="P252" s="46"/>
    </row>
    <row r="253" spans="1:16" ht="19.5" hidden="1" x14ac:dyDescent="0.3">
      <c r="A253" s="233"/>
      <c r="B253" s="234"/>
      <c r="C253" s="256" t="s">
        <v>107</v>
      </c>
      <c r="D253" s="236"/>
      <c r="E253" s="236"/>
      <c r="F253" s="236"/>
      <c r="G253" s="237"/>
      <c r="H253" s="257" t="s">
        <v>33</v>
      </c>
      <c r="I253" s="258">
        <f ca="1">I260</f>
        <v>0</v>
      </c>
      <c r="J253" s="258">
        <f>J260</f>
        <v>0</v>
      </c>
      <c r="K253" s="259">
        <f ca="1">IF(I253&gt;0,J253*100/I253,0)</f>
        <v>0</v>
      </c>
      <c r="L253" s="241"/>
      <c r="M253" s="241"/>
      <c r="N253" s="241"/>
      <c r="O253" s="241"/>
      <c r="P253" s="241"/>
    </row>
    <row r="254" spans="1:16" ht="19.5" hidden="1" x14ac:dyDescent="0.3">
      <c r="A254" s="136"/>
      <c r="B254" s="41"/>
      <c r="C254" s="260" t="s">
        <v>16</v>
      </c>
      <c r="D254" s="399" t="s">
        <v>17</v>
      </c>
      <c r="E254" s="41"/>
      <c r="F254" s="41"/>
      <c r="G254" s="43"/>
      <c r="H254" s="262" t="s">
        <v>12</v>
      </c>
      <c r="I254" s="144"/>
      <c r="J254" s="144"/>
      <c r="K254" s="145"/>
      <c r="L254" s="263">
        <f ca="1">L255+L256+L257+L258</f>
        <v>0</v>
      </c>
      <c r="M254" s="46"/>
      <c r="N254" s="263">
        <f>N255+N256+N257+N258</f>
        <v>0</v>
      </c>
      <c r="O254" s="263">
        <f ca="1">IF(L254&gt;0,N254*100/L254,0)</f>
        <v>0</v>
      </c>
      <c r="P254" s="263">
        <f>IF(M254&gt;0,N254*100/M254,0)</f>
        <v>0</v>
      </c>
    </row>
    <row r="255" spans="1:16" ht="18.75" hidden="1" x14ac:dyDescent="0.25">
      <c r="A255" s="136"/>
      <c r="B255" s="228"/>
      <c r="C255" s="41"/>
      <c r="D255" s="279" t="s">
        <v>80</v>
      </c>
      <c r="E255" s="41"/>
      <c r="F255" s="41"/>
      <c r="G255" s="43"/>
      <c r="H255" s="146" t="s">
        <v>12</v>
      </c>
      <c r="I255" s="144"/>
      <c r="J255" s="144"/>
      <c r="K255" s="145"/>
      <c r="L255" s="50">
        <f ca="1">IFERROR(__xludf.DUMMYFUNCTION("IMPORTRANGE(""https://docs.google.com/spreadsheets/d/1eHaY18a8A9IcSdp1K8H6x8fbOy06t2VsZHhMHf-1x7Y/edit?usp=sharing"",""แผน!BB18"")"),0)</f>
        <v>0</v>
      </c>
      <c r="M255" s="46"/>
      <c r="N255" s="264">
        <v>0</v>
      </c>
      <c r="O255" s="46"/>
      <c r="P255" s="46"/>
    </row>
    <row r="256" spans="1:16" ht="18.75" hidden="1" x14ac:dyDescent="0.25">
      <c r="A256" s="227"/>
      <c r="B256" s="228"/>
      <c r="C256" s="228"/>
      <c r="D256" s="279" t="s">
        <v>82</v>
      </c>
      <c r="E256" s="41"/>
      <c r="F256" s="41"/>
      <c r="G256" s="43"/>
      <c r="H256" s="146" t="s">
        <v>12</v>
      </c>
      <c r="I256" s="45"/>
      <c r="J256" s="45"/>
      <c r="K256" s="46"/>
      <c r="L256" s="50">
        <f ca="1">IFERROR(__xludf.DUMMYFUNCTION("IMPORTRANGE(""https://docs.google.com/spreadsheets/d/1eHaY18a8A9IcSdp1K8H6x8fbOy06t2VsZHhMHf-1x7Y/edit?usp=sharing"",""แผน!BC18"")"),0)</f>
        <v>0</v>
      </c>
      <c r="M256" s="46"/>
      <c r="N256" s="264">
        <v>0</v>
      </c>
      <c r="O256" s="46"/>
      <c r="P256" s="46"/>
    </row>
    <row r="257" spans="1:16" ht="18.75" hidden="1" x14ac:dyDescent="0.25">
      <c r="A257" s="227"/>
      <c r="B257" s="228"/>
      <c r="C257" s="228"/>
      <c r="D257" s="279" t="s">
        <v>101</v>
      </c>
      <c r="E257" s="41"/>
      <c r="F257" s="41"/>
      <c r="G257" s="43"/>
      <c r="H257" s="146" t="s">
        <v>12</v>
      </c>
      <c r="I257" s="45"/>
      <c r="J257" s="45"/>
      <c r="K257" s="46"/>
      <c r="L257" s="50">
        <f ca="1">IFERROR(__xludf.DUMMYFUNCTION("IMPORTRANGE(""https://docs.google.com/spreadsheets/d/1eHaY18a8A9IcSdp1K8H6x8fbOy06t2VsZHhMHf-1x7Y/edit?usp=sharing"",""แผน!BD18"")"),0)</f>
        <v>0</v>
      </c>
      <c r="M257" s="46"/>
      <c r="N257" s="264">
        <v>0</v>
      </c>
      <c r="O257" s="46"/>
      <c r="P257" s="46"/>
    </row>
    <row r="258" spans="1:16" ht="18.75" hidden="1" x14ac:dyDescent="0.25">
      <c r="A258" s="227"/>
      <c r="B258" s="228"/>
      <c r="C258" s="228"/>
      <c r="D258" s="279" t="s">
        <v>102</v>
      </c>
      <c r="E258" s="41"/>
      <c r="F258" s="41"/>
      <c r="G258" s="43"/>
      <c r="H258" s="146" t="s">
        <v>12</v>
      </c>
      <c r="I258" s="45"/>
      <c r="J258" s="45"/>
      <c r="K258" s="46"/>
      <c r="L258" s="50">
        <f ca="1">IFERROR(__xludf.DUMMYFUNCTION("IMPORTRANGE(""https://docs.google.com/spreadsheets/d/1eHaY18a8A9IcSdp1K8H6x8fbOy06t2VsZHhMHf-1x7Y/edit?usp=sharing"",""แผน!BE18"")"),0)</f>
        <v>0</v>
      </c>
      <c r="M258" s="46"/>
      <c r="N258" s="264">
        <v>0</v>
      </c>
      <c r="O258" s="46"/>
      <c r="P258" s="46"/>
    </row>
    <row r="259" spans="1:16" ht="19.5" hidden="1" x14ac:dyDescent="0.3">
      <c r="A259" s="148"/>
      <c r="B259" s="149"/>
      <c r="C259" s="265" t="s">
        <v>16</v>
      </c>
      <c r="D259" s="394" t="s">
        <v>36</v>
      </c>
      <c r="E259" s="151"/>
      <c r="F259" s="151"/>
      <c r="G259" s="152"/>
      <c r="H259" s="153"/>
      <c r="I259" s="144"/>
      <c r="J259" s="45"/>
      <c r="K259" s="46"/>
      <c r="L259" s="46"/>
      <c r="M259" s="46"/>
      <c r="N259" s="46"/>
      <c r="O259" s="145"/>
      <c r="P259" s="145"/>
    </row>
    <row r="260" spans="1:16" ht="18.75" hidden="1" x14ac:dyDescent="0.25">
      <c r="A260" s="148"/>
      <c r="B260" s="149"/>
      <c r="C260" s="149"/>
      <c r="D260" s="267" t="s">
        <v>103</v>
      </c>
      <c r="E260" s="155"/>
      <c r="F260" s="155"/>
      <c r="G260" s="153"/>
      <c r="H260" s="268" t="s">
        <v>33</v>
      </c>
      <c r="I260" s="200">
        <f ca="1">IFERROR(__xludf.DUMMYFUNCTION("IMPORTRANGE(""https://docs.google.com/spreadsheets/d/1eHaY18a8A9IcSdp1K8H6x8fbOy06t2VsZHhMHf-1x7Y/edit?usp=sharing"",""แผน!BH18"")"),0)</f>
        <v>0</v>
      </c>
      <c r="J260" s="201">
        <v>0</v>
      </c>
      <c r="K260" s="50">
        <f ca="1">IF(I260&gt;0,J260*100/I260,0)</f>
        <v>0</v>
      </c>
      <c r="L260" s="46"/>
      <c r="M260" s="46"/>
      <c r="N260" s="46"/>
      <c r="O260" s="46"/>
      <c r="P260" s="46"/>
    </row>
    <row r="261" spans="1:16" ht="18.75" hidden="1" x14ac:dyDescent="0.25">
      <c r="A261" s="148"/>
      <c r="B261" s="149"/>
      <c r="C261" s="149"/>
      <c r="D261" s="269" t="s">
        <v>41</v>
      </c>
      <c r="E261" s="155"/>
      <c r="F261" s="155"/>
      <c r="G261" s="153"/>
      <c r="H261" s="153"/>
      <c r="I261" s="45"/>
      <c r="J261" s="45"/>
      <c r="K261" s="46"/>
      <c r="L261" s="46"/>
      <c r="M261" s="46"/>
      <c r="N261" s="46"/>
      <c r="O261" s="145"/>
      <c r="P261" s="145"/>
    </row>
    <row r="262" spans="1:16" ht="18.75" hidden="1" x14ac:dyDescent="0.25">
      <c r="A262" s="148"/>
      <c r="B262" s="149"/>
      <c r="C262" s="149"/>
      <c r="D262" s="149"/>
      <c r="E262" s="270" t="s">
        <v>104</v>
      </c>
      <c r="F262" s="155"/>
      <c r="G262" s="153"/>
      <c r="H262" s="268" t="s">
        <v>33</v>
      </c>
      <c r="I262" s="45"/>
      <c r="J262" s="201">
        <v>0</v>
      </c>
      <c r="K262" s="50">
        <f>IF(I262&gt;0,J262*100/I262,0)</f>
        <v>0</v>
      </c>
      <c r="L262" s="46"/>
      <c r="M262" s="46"/>
      <c r="N262" s="46"/>
      <c r="O262" s="46"/>
      <c r="P262" s="46"/>
    </row>
    <row r="263" spans="1:16" ht="18.75" hidden="1" x14ac:dyDescent="0.25">
      <c r="A263" s="148"/>
      <c r="B263" s="149"/>
      <c r="C263" s="149"/>
      <c r="D263" s="149"/>
      <c r="E263" s="270" t="s">
        <v>105</v>
      </c>
      <c r="F263" s="155"/>
      <c r="G263" s="153"/>
      <c r="H263" s="268" t="s">
        <v>54</v>
      </c>
      <c r="I263" s="45"/>
      <c r="J263" s="201">
        <v>0</v>
      </c>
      <c r="K263" s="50">
        <f>IF(I263&gt;0,J263*100/I263,0)</f>
        <v>0</v>
      </c>
      <c r="L263" s="46"/>
      <c r="M263" s="46"/>
      <c r="N263" s="46"/>
      <c r="O263" s="46"/>
      <c r="P263" s="46"/>
    </row>
    <row r="264" spans="1:16" ht="19.5" hidden="1" x14ac:dyDescent="0.3">
      <c r="A264" s="272" t="s">
        <v>108</v>
      </c>
      <c r="B264" s="215"/>
      <c r="C264" s="215"/>
      <c r="D264" s="216"/>
      <c r="E264" s="216"/>
      <c r="F264" s="216"/>
      <c r="G264" s="217"/>
      <c r="H264" s="217"/>
      <c r="I264" s="218"/>
      <c r="J264" s="218"/>
      <c r="K264" s="219"/>
      <c r="L264" s="219"/>
      <c r="M264" s="219"/>
      <c r="N264" s="219"/>
      <c r="O264" s="219"/>
      <c r="P264" s="219"/>
    </row>
    <row r="265" spans="1:16" ht="19.5" hidden="1" x14ac:dyDescent="0.3">
      <c r="A265" s="220"/>
      <c r="B265" s="273" t="s">
        <v>109</v>
      </c>
      <c r="C265" s="222"/>
      <c r="D265" s="151"/>
      <c r="E265" s="151"/>
      <c r="F265" s="151"/>
      <c r="G265" s="152"/>
      <c r="H265" s="274" t="s">
        <v>33</v>
      </c>
      <c r="I265" s="275">
        <f>I276</f>
        <v>0</v>
      </c>
      <c r="J265" s="275">
        <f>J276</f>
        <v>0</v>
      </c>
      <c r="K265" s="276">
        <f>IF(I265&gt;0,J265*100/I265,0)</f>
        <v>0</v>
      </c>
      <c r="L265" s="226"/>
      <c r="M265" s="226"/>
      <c r="N265" s="226"/>
      <c r="O265" s="226"/>
      <c r="P265" s="226"/>
    </row>
    <row r="266" spans="1:16" ht="19.5" hidden="1" x14ac:dyDescent="0.3">
      <c r="A266" s="136"/>
      <c r="B266" s="41"/>
      <c r="C266" s="260" t="s">
        <v>16</v>
      </c>
      <c r="D266" s="261" t="s">
        <v>17</v>
      </c>
      <c r="E266" s="41"/>
      <c r="F266" s="41"/>
      <c r="G266" s="43"/>
      <c r="H266" s="277" t="s">
        <v>12</v>
      </c>
      <c r="I266" s="45"/>
      <c r="J266" s="45"/>
      <c r="K266" s="46"/>
      <c r="L266" s="263">
        <f ca="1">L267+L268</f>
        <v>0</v>
      </c>
      <c r="M266" s="263">
        <f ca="1">M267+M268</f>
        <v>0</v>
      </c>
      <c r="N266" s="263">
        <f ca="1">N267+N268</f>
        <v>0</v>
      </c>
      <c r="O266" s="263">
        <f ca="1">IF(L266&gt;0,N266*100/L266,0)</f>
        <v>0</v>
      </c>
      <c r="P266" s="263">
        <f ca="1">IF(M266&gt;0,N266*100/M266,0)</f>
        <v>0</v>
      </c>
    </row>
    <row r="267" spans="1:16" ht="18.75" hidden="1" x14ac:dyDescent="0.25">
      <c r="A267" s="136"/>
      <c r="B267" s="41"/>
      <c r="C267" s="41"/>
      <c r="D267" s="41"/>
      <c r="E267" s="279" t="s">
        <v>18</v>
      </c>
      <c r="F267" s="41"/>
      <c r="G267" s="43"/>
      <c r="H267" s="141" t="s">
        <v>12</v>
      </c>
      <c r="I267" s="45"/>
      <c r="J267" s="45"/>
      <c r="K267" s="46"/>
      <c r="L267" s="50">
        <f>L270+L273</f>
        <v>0</v>
      </c>
      <c r="M267" s="50">
        <f>M270+M273</f>
        <v>0</v>
      </c>
      <c r="N267" s="50">
        <f>N270+N273</f>
        <v>0</v>
      </c>
      <c r="O267" s="50">
        <f>IF(L267&gt;0,N267*100/L267,0)</f>
        <v>0</v>
      </c>
      <c r="P267" s="50">
        <f>IF(M267&gt;0,N267*100/M267,0)</f>
        <v>0</v>
      </c>
    </row>
    <row r="268" spans="1:16" ht="18.75" hidden="1" x14ac:dyDescent="0.25">
      <c r="A268" s="136"/>
      <c r="B268" s="41"/>
      <c r="C268" s="41"/>
      <c r="D268" s="41"/>
      <c r="E268" s="279" t="s">
        <v>19</v>
      </c>
      <c r="F268" s="41"/>
      <c r="G268" s="43"/>
      <c r="H268" s="141" t="s">
        <v>12</v>
      </c>
      <c r="I268" s="45"/>
      <c r="J268" s="45"/>
      <c r="K268" s="46"/>
      <c r="L268" s="50">
        <f ca="1">L271+L274</f>
        <v>0</v>
      </c>
      <c r="M268" s="50">
        <f ca="1">M271+M274</f>
        <v>0</v>
      </c>
      <c r="N268" s="50">
        <f ca="1">N271+N274</f>
        <v>0</v>
      </c>
      <c r="O268" s="50">
        <f ca="1">IF(L268&gt;0,N268*100/L268,0)</f>
        <v>0</v>
      </c>
      <c r="P268" s="50">
        <f ca="1">IF(M268&gt;0,N268*100/M268,0)</f>
        <v>0</v>
      </c>
    </row>
    <row r="269" spans="1:16" ht="18.75" hidden="1" x14ac:dyDescent="0.25">
      <c r="A269" s="136"/>
      <c r="B269" s="41"/>
      <c r="C269" s="41"/>
      <c r="D269" s="278" t="s">
        <v>20</v>
      </c>
      <c r="E269" s="41"/>
      <c r="F269" s="41"/>
      <c r="G269" s="43"/>
      <c r="H269" s="146" t="s">
        <v>12</v>
      </c>
      <c r="I269" s="144"/>
      <c r="J269" s="144"/>
      <c r="K269" s="145"/>
      <c r="L269" s="50">
        <f ca="1">L270+L271</f>
        <v>0</v>
      </c>
      <c r="M269" s="50">
        <f ca="1">M270+M271</f>
        <v>0</v>
      </c>
      <c r="N269" s="50">
        <f ca="1">N270+N271</f>
        <v>0</v>
      </c>
      <c r="O269" s="50">
        <f ca="1">IF(L269&gt;0,N269*100/L269,0)</f>
        <v>0</v>
      </c>
      <c r="P269" s="50">
        <f ca="1">IF(M269&gt;0,N269*100/M269,0)</f>
        <v>0</v>
      </c>
    </row>
    <row r="270" spans="1:16" ht="18.75" hidden="1" x14ac:dyDescent="0.25">
      <c r="A270" s="136"/>
      <c r="B270" s="41"/>
      <c r="C270" s="41"/>
      <c r="D270" s="41"/>
      <c r="E270" s="279" t="s">
        <v>34</v>
      </c>
      <c r="F270" s="41"/>
      <c r="G270" s="43"/>
      <c r="H270" s="146" t="s">
        <v>12</v>
      </c>
      <c r="I270" s="144"/>
      <c r="J270" s="144"/>
      <c r="K270" s="145"/>
      <c r="L270" s="50">
        <v>0</v>
      </c>
      <c r="M270" s="50">
        <v>0</v>
      </c>
      <c r="N270" s="50">
        <v>0</v>
      </c>
      <c r="O270" s="50">
        <f>IF(L270&gt;0,N270*100/L270,0)</f>
        <v>0</v>
      </c>
      <c r="P270" s="50">
        <f>IF(M270&gt;0,N270*100/M270,0)</f>
        <v>0</v>
      </c>
    </row>
    <row r="271" spans="1:16" ht="18.75" hidden="1" x14ac:dyDescent="0.25">
      <c r="A271" s="136"/>
      <c r="B271" s="41"/>
      <c r="C271" s="41"/>
      <c r="D271" s="41"/>
      <c r="E271" s="279" t="s">
        <v>35</v>
      </c>
      <c r="F271" s="41"/>
      <c r="G271" s="43"/>
      <c r="H271" s="146" t="s">
        <v>12</v>
      </c>
      <c r="I271" s="144"/>
      <c r="J271" s="144"/>
      <c r="K271" s="145"/>
      <c r="L271" s="50">
        <f ca="1">IFERROR(__xludf.DUMMYFUNCTION("IMPORTRANGE(""https://docs.google.com/spreadsheets/d/1-uDff_7J0KD5mKrp0Vvzr7lt3OU09vwQwhkpOPPYv2Y/edit?usp=sharing"",""งบพรบ!DE18"")"),0)</f>
        <v>0</v>
      </c>
      <c r="M271" s="50">
        <f ca="1">IFERROR(__xludf.DUMMYFUNCTION("IMPORTRANGE(""https://docs.google.com/spreadsheets/d/1-uDff_7J0KD5mKrp0Vvzr7lt3OU09vwQwhkpOPPYv2Y/edit?usp=sharing"",""งบพรบ!DJ18"")"),0)</f>
        <v>0</v>
      </c>
      <c r="N271" s="50">
        <f ca="1">IFERROR(__xludf.DUMMYFUNCTION("IMPORTRANGE(""https://docs.google.com/spreadsheets/d/1-uDff_7J0KD5mKrp0Vvzr7lt3OU09vwQwhkpOPPYv2Y/edit?usp=sharing"",""งบพรบ!DL18"")"),0)</f>
        <v>0</v>
      </c>
      <c r="O271" s="50">
        <f ca="1">IF(L271&gt;0,N271*100/L271,0)</f>
        <v>0</v>
      </c>
      <c r="P271" s="50">
        <f ca="1">IF(M271&gt;0,N271*100/M271,0)</f>
        <v>0</v>
      </c>
    </row>
    <row r="272" spans="1:16" ht="18.75" hidden="1" x14ac:dyDescent="0.25">
      <c r="A272" s="136"/>
      <c r="B272" s="41"/>
      <c r="C272" s="41"/>
      <c r="D272" s="278" t="s">
        <v>21</v>
      </c>
      <c r="E272" s="41"/>
      <c r="F272" s="41"/>
      <c r="G272" s="43"/>
      <c r="H272" s="199" t="s">
        <v>12</v>
      </c>
      <c r="I272" s="144"/>
      <c r="J272" s="144"/>
      <c r="K272" s="145"/>
      <c r="L272" s="50">
        <f ca="1">L273+L274</f>
        <v>0</v>
      </c>
      <c r="M272" s="50">
        <f ca="1">M273+M274</f>
        <v>0</v>
      </c>
      <c r="N272" s="50">
        <f ca="1">N273+N274</f>
        <v>0</v>
      </c>
      <c r="O272" s="50">
        <f ca="1">IF(L272&gt;0,N272*100/L272,0)</f>
        <v>0</v>
      </c>
      <c r="P272" s="50">
        <f ca="1">IF(M272&gt;0,N272*100/M272,0)</f>
        <v>0</v>
      </c>
    </row>
    <row r="273" spans="1:16" ht="18.75" hidden="1" x14ac:dyDescent="0.25">
      <c r="A273" s="136"/>
      <c r="B273" s="41"/>
      <c r="C273" s="41"/>
      <c r="D273" s="41"/>
      <c r="E273" s="279" t="s">
        <v>18</v>
      </c>
      <c r="F273" s="41"/>
      <c r="G273" s="43"/>
      <c r="H273" s="146" t="s">
        <v>12</v>
      </c>
      <c r="I273" s="144"/>
      <c r="J273" s="144"/>
      <c r="K273" s="145"/>
      <c r="L273" s="50">
        <v>0</v>
      </c>
      <c r="M273" s="50">
        <v>0</v>
      </c>
      <c r="N273" s="50">
        <v>0</v>
      </c>
      <c r="O273" s="50">
        <f>IF(L273&gt;0,N273*100/L273,0)</f>
        <v>0</v>
      </c>
      <c r="P273" s="50">
        <f>IF(M273&gt;0,N273*100/M273,0)</f>
        <v>0</v>
      </c>
    </row>
    <row r="274" spans="1:16" ht="18.75" hidden="1" x14ac:dyDescent="0.25">
      <c r="A274" s="136"/>
      <c r="B274" s="41"/>
      <c r="C274" s="41"/>
      <c r="D274" s="41"/>
      <c r="E274" s="279" t="s">
        <v>19</v>
      </c>
      <c r="F274" s="41"/>
      <c r="G274" s="43"/>
      <c r="H274" s="199" t="s">
        <v>12</v>
      </c>
      <c r="I274" s="144"/>
      <c r="J274" s="144"/>
      <c r="K274" s="145"/>
      <c r="L274" s="50">
        <f ca="1">IFERROR(__xludf.DUMMYFUNCTION("IMPORTRANGE(""https://docs.google.com/spreadsheets/d/1-uDff_7J0KD5mKrp0Vvzr7lt3OU09vwQwhkpOPPYv2Y/edit?usp=sharing"",""งบพรบ!DH18"")"),0)</f>
        <v>0</v>
      </c>
      <c r="M274" s="50">
        <f ca="1">IFERROR(__xludf.DUMMYFUNCTION("IMPORTRANGE(""https://docs.google.com/spreadsheets/d/1-uDff_7J0KD5mKrp0Vvzr7lt3OU09vwQwhkpOPPYv2Y/edit?usp=sharing"",""งบพรบ!DK18"")"),0)</f>
        <v>0</v>
      </c>
      <c r="N274" s="50">
        <f ca="1">IFERROR(__xludf.DUMMYFUNCTION("IMPORTRANGE(""https://docs.google.com/spreadsheets/d/1-uDff_7J0KD5mKrp0Vvzr7lt3OU09vwQwhkpOPPYv2Y/edit?usp=sharing"",""งบพรบ!DM18"")"),0)</f>
        <v>0</v>
      </c>
      <c r="O274" s="50">
        <f ca="1">IF(L274&gt;0,N274*100/L274,0)</f>
        <v>0</v>
      </c>
      <c r="P274" s="50">
        <f ca="1">IF(M274&gt;0,N274*100/M274,0)</f>
        <v>0</v>
      </c>
    </row>
    <row r="275" spans="1:16" ht="19.5" hidden="1" x14ac:dyDescent="0.3">
      <c r="A275" s="148"/>
      <c r="B275" s="149"/>
      <c r="C275" s="279" t="s">
        <v>16</v>
      </c>
      <c r="D275" s="394" t="s">
        <v>36</v>
      </c>
      <c r="E275" s="151"/>
      <c r="F275" s="151"/>
      <c r="G275" s="152"/>
      <c r="H275" s="153"/>
      <c r="I275" s="144"/>
      <c r="J275" s="144"/>
      <c r="K275" s="145"/>
      <c r="L275" s="145"/>
      <c r="M275" s="145"/>
      <c r="N275" s="145"/>
      <c r="O275" s="145"/>
      <c r="P275" s="145"/>
    </row>
    <row r="276" spans="1:16" ht="12.75" hidden="1" x14ac:dyDescent="0.2">
      <c r="A276" s="165"/>
      <c r="B276" s="166"/>
      <c r="C276" s="166"/>
      <c r="D276" s="16"/>
      <c r="E276" s="16"/>
      <c r="F276" s="16"/>
      <c r="G276" s="17"/>
      <c r="H276" s="17"/>
      <c r="I276" s="18"/>
      <c r="J276" s="18"/>
      <c r="K276" s="19"/>
      <c r="L276" s="19"/>
      <c r="M276" s="19"/>
      <c r="N276" s="19"/>
      <c r="O276" s="19"/>
      <c r="P276" s="19"/>
    </row>
    <row r="277" spans="1:16" ht="18.75" hidden="1" x14ac:dyDescent="0.25">
      <c r="A277" s="280"/>
      <c r="B277" s="281"/>
      <c r="C277" s="281"/>
      <c r="D277" s="282" t="s">
        <v>110</v>
      </c>
      <c r="E277" s="283"/>
      <c r="F277" s="283"/>
      <c r="G277" s="284"/>
      <c r="H277" s="285" t="s">
        <v>33</v>
      </c>
      <c r="I277" s="205">
        <v>0</v>
      </c>
      <c r="J277" s="205">
        <v>0</v>
      </c>
      <c r="K277" s="286">
        <v>0</v>
      </c>
      <c r="L277" s="287"/>
      <c r="M277" s="287"/>
      <c r="N277" s="287"/>
      <c r="O277" s="287"/>
      <c r="P277" s="287"/>
    </row>
    <row r="278" spans="1:16" ht="19.5" x14ac:dyDescent="0.3">
      <c r="A278" s="288" t="s">
        <v>111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</row>
    <row r="279" spans="1:16" ht="19.5" x14ac:dyDescent="0.3">
      <c r="A279" s="294" t="s">
        <v>112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299"/>
      <c r="M279" s="299"/>
      <c r="N279" s="299"/>
      <c r="O279" s="299"/>
      <c r="P279" s="299"/>
    </row>
    <row r="280" spans="1:16" ht="19.5" x14ac:dyDescent="0.3">
      <c r="A280" s="300"/>
      <c r="B280" s="301" t="s">
        <v>113</v>
      </c>
      <c r="C280" s="302"/>
      <c r="D280" s="303"/>
      <c r="E280" s="302"/>
      <c r="F280" s="302"/>
      <c r="G280" s="304"/>
      <c r="H280" s="305" t="s">
        <v>33</v>
      </c>
      <c r="I280" s="306">
        <f ca="1">I293</f>
        <v>50</v>
      </c>
      <c r="J280" s="306">
        <f>J293</f>
        <v>0</v>
      </c>
      <c r="K280" s="307">
        <f ca="1">IF(I280&gt;0,J280*100/I280,0)</f>
        <v>0</v>
      </c>
      <c r="L280" s="308"/>
      <c r="M280" s="308"/>
      <c r="N280" s="308"/>
      <c r="O280" s="308"/>
      <c r="P280" s="308"/>
    </row>
    <row r="281" spans="1:16" ht="19.5" x14ac:dyDescent="0.3">
      <c r="A281" s="300"/>
      <c r="B281" s="302"/>
      <c r="C281" s="302"/>
      <c r="D281" s="303"/>
      <c r="E281" s="302"/>
      <c r="F281" s="302"/>
      <c r="G281" s="304"/>
      <c r="H281" s="305" t="s">
        <v>44</v>
      </c>
      <c r="I281" s="306">
        <f ca="1">I292</f>
        <v>500</v>
      </c>
      <c r="J281" s="306">
        <f>J292</f>
        <v>0</v>
      </c>
      <c r="K281" s="307">
        <f ca="1">IF(I281&gt;0,J281*100/I281,0)</f>
        <v>0</v>
      </c>
      <c r="L281" s="308"/>
      <c r="M281" s="308"/>
      <c r="N281" s="308"/>
      <c r="O281" s="308"/>
      <c r="P281" s="308"/>
    </row>
    <row r="282" spans="1:16" ht="19.5" x14ac:dyDescent="0.3">
      <c r="A282" s="136"/>
      <c r="B282" s="41"/>
      <c r="C282" s="197" t="s">
        <v>16</v>
      </c>
      <c r="D282" s="397" t="s">
        <v>17</v>
      </c>
      <c r="E282" s="41"/>
      <c r="F282" s="41"/>
      <c r="G282" s="43"/>
      <c r="H282" s="139" t="s">
        <v>12</v>
      </c>
      <c r="I282" s="45"/>
      <c r="J282" s="45"/>
      <c r="K282" s="46"/>
      <c r="L282" s="140">
        <f ca="1">L283+L284</f>
        <v>193220</v>
      </c>
      <c r="M282" s="140">
        <f ca="1">M283+M284</f>
        <v>158980</v>
      </c>
      <c r="N282" s="140">
        <f ca="1">N283+N284</f>
        <v>10310</v>
      </c>
      <c r="O282" s="140">
        <f ca="1">IF(L282&gt;0,N282*100/L282,0)</f>
        <v>5.3358865541869376</v>
      </c>
      <c r="P282" s="140">
        <f ca="1">IF(M282&gt;0,N282*100/M282,0)</f>
        <v>6.4850924644609389</v>
      </c>
    </row>
    <row r="283" spans="1:16" ht="18.75" hidden="1" x14ac:dyDescent="0.25">
      <c r="A283" s="136"/>
      <c r="B283" s="41"/>
      <c r="C283" s="41"/>
      <c r="D283" s="41"/>
      <c r="E283" s="279" t="s">
        <v>18</v>
      </c>
      <c r="F283" s="41"/>
      <c r="G283" s="43"/>
      <c r="H283" s="141" t="s">
        <v>12</v>
      </c>
      <c r="I283" s="45"/>
      <c r="J283" s="45"/>
      <c r="K283" s="46"/>
      <c r="L283" s="50">
        <f>L286+L289</f>
        <v>0</v>
      </c>
      <c r="M283" s="50">
        <f>M286+M289</f>
        <v>0</v>
      </c>
      <c r="N283" s="50">
        <f>N286+N289</f>
        <v>0</v>
      </c>
      <c r="O283" s="50">
        <f>IF(L283&gt;0,N283*100/L283,0)</f>
        <v>0</v>
      </c>
      <c r="P283" s="50">
        <f>IF(M283&gt;0,N283*100/M283,0)</f>
        <v>0</v>
      </c>
    </row>
    <row r="284" spans="1:16" ht="18.75" x14ac:dyDescent="0.25">
      <c r="A284" s="136"/>
      <c r="B284" s="41"/>
      <c r="C284" s="41"/>
      <c r="D284" s="41"/>
      <c r="E284" s="254" t="s">
        <v>19</v>
      </c>
      <c r="F284" s="41"/>
      <c r="G284" s="43"/>
      <c r="H284" s="142" t="s">
        <v>12</v>
      </c>
      <c r="I284" s="45"/>
      <c r="J284" s="45"/>
      <c r="K284" s="46"/>
      <c r="L284" s="47">
        <f ca="1">L287+L290</f>
        <v>193220</v>
      </c>
      <c r="M284" s="47">
        <f ca="1">M287+M290</f>
        <v>158980</v>
      </c>
      <c r="N284" s="47">
        <f ca="1">N287+N290</f>
        <v>10310</v>
      </c>
      <c r="O284" s="47">
        <f ca="1">IF(L284&gt;0,N284*100/L284,0)</f>
        <v>5.3358865541869376</v>
      </c>
      <c r="P284" s="47">
        <f ca="1">IF(M284&gt;0,N284*100/M284,0)</f>
        <v>6.4850924644609389</v>
      </c>
    </row>
    <row r="285" spans="1:16" ht="18.75" x14ac:dyDescent="0.25">
      <c r="A285" s="136"/>
      <c r="B285" s="41"/>
      <c r="C285" s="41"/>
      <c r="D285" s="42" t="s">
        <v>20</v>
      </c>
      <c r="E285" s="41"/>
      <c r="F285" s="41"/>
      <c r="G285" s="43"/>
      <c r="H285" s="143" t="s">
        <v>12</v>
      </c>
      <c r="I285" s="144"/>
      <c r="J285" s="144"/>
      <c r="K285" s="145"/>
      <c r="L285" s="47">
        <f ca="1">L286+L287</f>
        <v>193220</v>
      </c>
      <c r="M285" s="47">
        <f ca="1">M286+M287</f>
        <v>158980</v>
      </c>
      <c r="N285" s="47">
        <f ca="1">N286+N287</f>
        <v>10310</v>
      </c>
      <c r="O285" s="47">
        <f ca="1">IF(L285&gt;0,N285*100/L285,0)</f>
        <v>5.3358865541869376</v>
      </c>
      <c r="P285" s="47">
        <f ca="1">IF(M285&gt;0,N285*100/M285,0)</f>
        <v>6.4850924644609389</v>
      </c>
    </row>
    <row r="286" spans="1:16" ht="18.75" hidden="1" x14ac:dyDescent="0.25">
      <c r="A286" s="136"/>
      <c r="B286" s="41"/>
      <c r="C286" s="41"/>
      <c r="D286" s="41"/>
      <c r="E286" s="279" t="s">
        <v>34</v>
      </c>
      <c r="F286" s="41"/>
      <c r="G286" s="43"/>
      <c r="H286" s="146" t="s">
        <v>12</v>
      </c>
      <c r="I286" s="144"/>
      <c r="J286" s="144"/>
      <c r="K286" s="145"/>
      <c r="L286" s="50">
        <v>0</v>
      </c>
      <c r="M286" s="50">
        <v>0</v>
      </c>
      <c r="N286" s="50">
        <v>0</v>
      </c>
      <c r="O286" s="50">
        <f>IF(L286&gt;0,N286*100/L286,0)</f>
        <v>0</v>
      </c>
      <c r="P286" s="50">
        <f>IF(M286&gt;0,N286*100/M286,0)</f>
        <v>0</v>
      </c>
    </row>
    <row r="287" spans="1:16" ht="18.75" x14ac:dyDescent="0.25">
      <c r="A287" s="136"/>
      <c r="B287" s="41"/>
      <c r="C287" s="41"/>
      <c r="D287" s="41"/>
      <c r="E287" s="254" t="s">
        <v>35</v>
      </c>
      <c r="F287" s="41"/>
      <c r="G287" s="43"/>
      <c r="H287" s="143" t="s">
        <v>12</v>
      </c>
      <c r="I287" s="144"/>
      <c r="J287" s="144"/>
      <c r="K287" s="145"/>
      <c r="L287" s="47">
        <f ca="1">IFERROR(__xludf.DUMMYFUNCTION("IMPORTRANGE(""https://docs.google.com/spreadsheets/d/1-uDff_7J0KD5mKrp0Vvzr7lt3OU09vwQwhkpOPPYv2Y/edit?usp=sharing"",""งบพรบ!DO18"")"),193220)</f>
        <v>193220</v>
      </c>
      <c r="M287" s="47">
        <f ca="1">IFERROR(__xludf.DUMMYFUNCTION("IMPORTRANGE(""https://docs.google.com/spreadsheets/d/1-uDff_7J0KD5mKrp0Vvzr7lt3OU09vwQwhkpOPPYv2Y/edit?usp=sharing"",""งบพรบ!DT18"")"),158980)</f>
        <v>158980</v>
      </c>
      <c r="N287" s="47">
        <f ca="1">IFERROR(__xludf.DUMMYFUNCTION("IMPORTRANGE(""https://docs.google.com/spreadsheets/d/1-uDff_7J0KD5mKrp0Vvzr7lt3OU09vwQwhkpOPPYv2Y/edit?usp=sharing"",""งบพรบ!DV18"")"),10310)</f>
        <v>10310</v>
      </c>
      <c r="O287" s="47">
        <f ca="1">IF(L287&gt;0,N287*100/L287,0)</f>
        <v>5.3358865541869376</v>
      </c>
      <c r="P287" s="47">
        <f ca="1">IF(M287&gt;0,N287*100/M287,0)</f>
        <v>6.4850924644609389</v>
      </c>
    </row>
    <row r="288" spans="1:16" ht="18.75" x14ac:dyDescent="0.25">
      <c r="A288" s="136"/>
      <c r="B288" s="41"/>
      <c r="C288" s="41"/>
      <c r="D288" s="42" t="s">
        <v>21</v>
      </c>
      <c r="E288" s="41"/>
      <c r="F288" s="41"/>
      <c r="G288" s="43"/>
      <c r="H288" s="147" t="s">
        <v>12</v>
      </c>
      <c r="I288" s="144"/>
      <c r="J288" s="144"/>
      <c r="K288" s="145"/>
      <c r="L288" s="47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</row>
    <row r="289" spans="1:16" ht="18.75" hidden="1" x14ac:dyDescent="0.25">
      <c r="A289" s="136"/>
      <c r="B289" s="41"/>
      <c r="C289" s="41"/>
      <c r="D289" s="41"/>
      <c r="E289" s="279" t="s">
        <v>18</v>
      </c>
      <c r="F289" s="41"/>
      <c r="G289" s="43"/>
      <c r="H289" s="146" t="s">
        <v>12</v>
      </c>
      <c r="I289" s="144"/>
      <c r="J289" s="144"/>
      <c r="K289" s="145"/>
      <c r="L289" s="50">
        <v>0</v>
      </c>
      <c r="M289" s="50">
        <v>0</v>
      </c>
      <c r="N289" s="50">
        <v>0</v>
      </c>
      <c r="O289" s="50">
        <f>IF(L289&gt;0,N289*100/L289,0)</f>
        <v>0</v>
      </c>
      <c r="P289" s="50">
        <f>IF(M289&gt;0,N289*100/M289,0)</f>
        <v>0</v>
      </c>
    </row>
    <row r="290" spans="1:16" ht="18.75" x14ac:dyDescent="0.25">
      <c r="A290" s="136"/>
      <c r="B290" s="41"/>
      <c r="C290" s="41"/>
      <c r="D290" s="41"/>
      <c r="E290" s="254" t="s">
        <v>19</v>
      </c>
      <c r="F290" s="41"/>
      <c r="G290" s="43"/>
      <c r="H290" s="147" t="s">
        <v>12</v>
      </c>
      <c r="I290" s="144"/>
      <c r="J290" s="144"/>
      <c r="K290" s="145"/>
      <c r="L290" s="47">
        <f ca="1">IFERROR(__xludf.DUMMYFUNCTION("IMPORTRANGE(""https://docs.google.com/spreadsheets/d/1-uDff_7J0KD5mKrp0Vvzr7lt3OU09vwQwhkpOPPYv2Y/edit?usp=sharing"",""งบพรบ!DR18"")"),0)</f>
        <v>0</v>
      </c>
      <c r="M290" s="47">
        <f ca="1">IFERROR(__xludf.DUMMYFUNCTION("IMPORTRANGE(""https://docs.google.com/spreadsheets/d/1-uDff_7J0KD5mKrp0Vvzr7lt3OU09vwQwhkpOPPYv2Y/edit?usp=sharing"",""งบพรบ!DU18"")"),0)</f>
        <v>0</v>
      </c>
      <c r="N290" s="47">
        <f ca="1">IFERROR(__xludf.DUMMYFUNCTION("IMPORTRANGE(""https://docs.google.com/spreadsheets/d/1-uDff_7J0KD5mKrp0Vvzr7lt3OU09vwQwhkpOPPYv2Y/edit?usp=sharing"",""งบพรบ!DW18"")"),0)</f>
        <v>0</v>
      </c>
      <c r="O290" s="47">
        <f ca="1">IF(L290&gt;0,N290*100/L290,0)</f>
        <v>0</v>
      </c>
      <c r="P290" s="47">
        <f ca="1">IF(M290&gt;0,N290*100/M290,0)</f>
        <v>0</v>
      </c>
    </row>
    <row r="291" spans="1:16" ht="19.5" x14ac:dyDescent="0.3">
      <c r="A291" s="148"/>
      <c r="B291" s="149"/>
      <c r="C291" s="197" t="s">
        <v>16</v>
      </c>
      <c r="D291" s="395" t="s">
        <v>36</v>
      </c>
      <c r="E291" s="151"/>
      <c r="F291" s="151"/>
      <c r="G291" s="152"/>
      <c r="H291" s="153"/>
      <c r="I291" s="144"/>
      <c r="J291" s="144"/>
      <c r="K291" s="145"/>
      <c r="L291" s="145"/>
      <c r="M291" s="145"/>
      <c r="N291" s="145"/>
      <c r="O291" s="145"/>
      <c r="P291" s="145"/>
    </row>
    <row r="292" spans="1:16" ht="18.75" x14ac:dyDescent="0.25">
      <c r="A292" s="148"/>
      <c r="B292" s="149"/>
      <c r="C292" s="149"/>
      <c r="D292" s="159" t="s">
        <v>114</v>
      </c>
      <c r="E292" s="149"/>
      <c r="F292" s="155"/>
      <c r="G292" s="153"/>
      <c r="H292" s="164" t="s">
        <v>44</v>
      </c>
      <c r="I292" s="169">
        <f ca="1">IFERROR(__xludf.DUMMYFUNCTION("IMPORTRANGE(""https://docs.google.com/spreadsheets/d/1eHaY18a8A9IcSdp1K8H6x8fbOy06t2VsZHhMHf-1x7Y/edit?usp=sharing"",""แผน!EE18"")"),500)</f>
        <v>500</v>
      </c>
      <c r="J292" s="250">
        <v>0</v>
      </c>
      <c r="K292" s="163">
        <f ca="1">IF(I292&gt;0,J292*100/I292,0)</f>
        <v>0</v>
      </c>
      <c r="L292" s="145"/>
      <c r="M292" s="145"/>
      <c r="N292" s="145"/>
      <c r="O292" s="145"/>
      <c r="P292" s="145"/>
    </row>
    <row r="293" spans="1:16" ht="19.5" x14ac:dyDescent="0.3">
      <c r="A293" s="148"/>
      <c r="B293" s="149"/>
      <c r="C293" s="149"/>
      <c r="D293" s="159" t="s">
        <v>115</v>
      </c>
      <c r="E293" s="149"/>
      <c r="F293" s="155"/>
      <c r="G293" s="153"/>
      <c r="H293" s="156" t="s">
        <v>33</v>
      </c>
      <c r="I293" s="157">
        <f ca="1">IFERROR(__xludf.DUMMYFUNCTION("IMPORTRANGE(""https://docs.google.com/spreadsheets/d/1eHaY18a8A9IcSdp1K8H6x8fbOy06t2VsZHhMHf-1x7Y/edit?usp=sharing"",""แผน!ED18"")"),50)</f>
        <v>50</v>
      </c>
      <c r="J293" s="157">
        <f>J296</f>
        <v>0</v>
      </c>
      <c r="K293" s="158">
        <f ca="1">IF(I293&gt;0,J293*100/I293,0)</f>
        <v>0</v>
      </c>
      <c r="L293" s="145"/>
      <c r="M293" s="145"/>
      <c r="N293" s="145"/>
      <c r="O293" s="145"/>
      <c r="P293" s="145"/>
    </row>
    <row r="294" spans="1:16" ht="19.5" x14ac:dyDescent="0.3">
      <c r="A294" s="148"/>
      <c r="B294" s="149"/>
      <c r="C294" s="149"/>
      <c r="D294" s="155"/>
      <c r="E294" s="167" t="s">
        <v>116</v>
      </c>
      <c r="F294" s="155"/>
      <c r="G294" s="153"/>
      <c r="H294" s="153"/>
      <c r="I294" s="144"/>
      <c r="J294" s="45"/>
      <c r="K294" s="145"/>
      <c r="L294" s="145"/>
      <c r="M294" s="145"/>
      <c r="N294" s="145"/>
      <c r="O294" s="145"/>
      <c r="P294" s="145"/>
    </row>
    <row r="295" spans="1:16" ht="19.5" x14ac:dyDescent="0.3">
      <c r="A295" s="148"/>
      <c r="B295" s="149"/>
      <c r="C295" s="149"/>
      <c r="D295" s="155"/>
      <c r="E295" s="159" t="s">
        <v>117</v>
      </c>
      <c r="F295" s="155"/>
      <c r="G295" s="153"/>
      <c r="H295" s="251" t="s">
        <v>33</v>
      </c>
      <c r="I295" s="161">
        <f ca="1">IFERROR(__xludf.DUMMYFUNCTION("IMPORTRANGE(""https://docs.google.com/spreadsheets/d/1eHaY18a8A9IcSdp1K8H6x8fbOy06t2VsZHhMHf-1x7Y/edit?usp=sharing"",""แผน!ED18"")"),50)</f>
        <v>50</v>
      </c>
      <c r="J295" s="250">
        <v>0</v>
      </c>
      <c r="K295" s="163">
        <f ca="1">IF(I295&gt;0,J295*100/I295,0)</f>
        <v>0</v>
      </c>
      <c r="L295" s="145"/>
      <c r="M295" s="145"/>
      <c r="N295" s="145"/>
      <c r="O295" s="145"/>
      <c r="P295" s="145"/>
    </row>
    <row r="296" spans="1:16" ht="19.5" x14ac:dyDescent="0.3">
      <c r="A296" s="148"/>
      <c r="B296" s="149"/>
      <c r="C296" s="149"/>
      <c r="D296" s="155"/>
      <c r="E296" s="159" t="s">
        <v>118</v>
      </c>
      <c r="F296" s="155"/>
      <c r="G296" s="153"/>
      <c r="H296" s="251" t="s">
        <v>33</v>
      </c>
      <c r="I296" s="161">
        <f ca="1">IFERROR(__xludf.DUMMYFUNCTION("IMPORTRANGE(""https://docs.google.com/spreadsheets/d/1eHaY18a8A9IcSdp1K8H6x8fbOy06t2VsZHhMHf-1x7Y/edit?usp=sharing"",""แผน!ED18"")"),50)</f>
        <v>50</v>
      </c>
      <c r="J296" s="250">
        <v>0</v>
      </c>
      <c r="K296" s="163">
        <f ca="1">IF(I296&gt;0,J296*100/I296,0)</f>
        <v>0</v>
      </c>
      <c r="L296" s="145"/>
      <c r="M296" s="145"/>
      <c r="N296" s="145"/>
      <c r="O296" s="145"/>
      <c r="P296" s="145"/>
    </row>
    <row r="297" spans="1:16" ht="12.75" hidden="1" x14ac:dyDescent="0.2">
      <c r="A297" s="165"/>
      <c r="B297" s="166"/>
      <c r="C297" s="166"/>
      <c r="D297" s="16"/>
      <c r="E297" s="16"/>
      <c r="F297" s="16"/>
      <c r="G297" s="17"/>
      <c r="H297" s="17"/>
      <c r="I297" s="18"/>
      <c r="J297" s="18"/>
      <c r="K297" s="19"/>
      <c r="L297" s="19"/>
      <c r="M297" s="19"/>
      <c r="N297" s="19"/>
      <c r="O297" s="19"/>
      <c r="P297" s="19"/>
    </row>
    <row r="298" spans="1:16" ht="12.75" hidden="1" x14ac:dyDescent="0.2">
      <c r="A298" s="165"/>
      <c r="B298" s="166"/>
      <c r="C298" s="166"/>
      <c r="D298" s="16"/>
      <c r="E298" s="16"/>
      <c r="F298" s="16"/>
      <c r="G298" s="17"/>
      <c r="H298" s="17"/>
      <c r="I298" s="18"/>
      <c r="J298" s="18"/>
      <c r="K298" s="19"/>
      <c r="L298" s="19"/>
      <c r="M298" s="19"/>
      <c r="N298" s="19"/>
      <c r="O298" s="19"/>
      <c r="P298" s="19"/>
    </row>
    <row r="299" spans="1:16" ht="12.75" hidden="1" x14ac:dyDescent="0.2">
      <c r="A299" s="309"/>
      <c r="B299" s="310"/>
      <c r="C299" s="310"/>
      <c r="D299" s="21"/>
      <c r="E299" s="21"/>
      <c r="F299" s="21"/>
      <c r="G299" s="12"/>
      <c r="H299" s="12"/>
      <c r="I299" s="13"/>
      <c r="J299" s="13"/>
      <c r="K299" s="14"/>
      <c r="L299" s="14"/>
      <c r="M299" s="14"/>
      <c r="N299" s="14"/>
      <c r="O299" s="14"/>
      <c r="P299" s="14"/>
    </row>
    <row r="300" spans="1:16" ht="19.5" x14ac:dyDescent="0.3">
      <c r="A300" s="311" t="s">
        <v>119</v>
      </c>
      <c r="B300" s="312"/>
      <c r="C300" s="312"/>
      <c r="D300" s="312"/>
      <c r="E300" s="313"/>
      <c r="F300" s="313"/>
      <c r="G300" s="313"/>
      <c r="H300" s="313"/>
      <c r="I300" s="314"/>
      <c r="J300" s="314"/>
      <c r="K300" s="315"/>
      <c r="L300" s="315"/>
      <c r="M300" s="315"/>
      <c r="N300" s="315"/>
      <c r="O300" s="315"/>
      <c r="P300" s="316"/>
    </row>
    <row r="301" spans="1:16" ht="19.5" x14ac:dyDescent="0.3">
      <c r="A301" s="317" t="s">
        <v>120</v>
      </c>
      <c r="B301" s="318"/>
      <c r="C301" s="318"/>
      <c r="D301" s="319"/>
      <c r="E301" s="319"/>
      <c r="F301" s="319"/>
      <c r="G301" s="320"/>
      <c r="H301" s="320"/>
      <c r="I301" s="321"/>
      <c r="J301" s="321"/>
      <c r="K301" s="322"/>
      <c r="L301" s="322"/>
      <c r="M301" s="322"/>
      <c r="N301" s="322"/>
      <c r="O301" s="322"/>
      <c r="P301" s="322"/>
    </row>
    <row r="302" spans="1:16" ht="19.5" x14ac:dyDescent="0.3">
      <c r="A302" s="323"/>
      <c r="B302" s="324" t="s">
        <v>121</v>
      </c>
      <c r="C302" s="325"/>
      <c r="D302" s="325"/>
      <c r="E302" s="325"/>
      <c r="F302" s="325"/>
      <c r="G302" s="326"/>
      <c r="H302" s="327" t="s">
        <v>33</v>
      </c>
      <c r="I302" s="328">
        <f ca="1">I314</f>
        <v>25</v>
      </c>
      <c r="J302" s="328">
        <f>J314</f>
        <v>0</v>
      </c>
      <c r="K302" s="329">
        <f ca="1">IF(I302&gt;0,J302*100/I302,0)</f>
        <v>0</v>
      </c>
      <c r="L302" s="330"/>
      <c r="M302" s="330"/>
      <c r="N302" s="330"/>
      <c r="O302" s="330"/>
      <c r="P302" s="330"/>
    </row>
    <row r="303" spans="1:16" ht="19.5" x14ac:dyDescent="0.3">
      <c r="A303" s="136"/>
      <c r="B303" s="41"/>
      <c r="C303" s="197" t="s">
        <v>16</v>
      </c>
      <c r="D303" s="397" t="s">
        <v>17</v>
      </c>
      <c r="E303" s="41"/>
      <c r="F303" s="41"/>
      <c r="G303" s="43"/>
      <c r="H303" s="139" t="s">
        <v>12</v>
      </c>
      <c r="I303" s="45"/>
      <c r="J303" s="45"/>
      <c r="K303" s="46"/>
      <c r="L303" s="140">
        <f ca="1">L304+L305</f>
        <v>152100</v>
      </c>
      <c r="M303" s="140">
        <f ca="1">M304+M305</f>
        <v>115000</v>
      </c>
      <c r="N303" s="140">
        <f ca="1">N304+N305</f>
        <v>0</v>
      </c>
      <c r="O303" s="140">
        <f ca="1">IF(L303&gt;0,N303*100/L303,0)</f>
        <v>0</v>
      </c>
      <c r="P303" s="140">
        <f ca="1">IF(M303&gt;0,N303*100/M303,0)</f>
        <v>0</v>
      </c>
    </row>
    <row r="304" spans="1:16" ht="18.75" hidden="1" x14ac:dyDescent="0.25">
      <c r="A304" s="136"/>
      <c r="B304" s="41"/>
      <c r="C304" s="41"/>
      <c r="D304" s="41"/>
      <c r="E304" s="279" t="s">
        <v>18</v>
      </c>
      <c r="F304" s="41"/>
      <c r="G304" s="43"/>
      <c r="H304" s="141" t="s">
        <v>12</v>
      </c>
      <c r="I304" s="45"/>
      <c r="J304" s="45"/>
      <c r="K304" s="46"/>
      <c r="L304" s="50">
        <f>L307+L310</f>
        <v>0</v>
      </c>
      <c r="M304" s="50">
        <f>M307+M310</f>
        <v>0</v>
      </c>
      <c r="N304" s="50">
        <f>N307+N310</f>
        <v>0</v>
      </c>
      <c r="O304" s="50">
        <f>IF(L304&gt;0,N304*100/L304,0)</f>
        <v>0</v>
      </c>
      <c r="P304" s="50">
        <f>IF(M304&gt;0,N304*100/M304,0)</f>
        <v>0</v>
      </c>
    </row>
    <row r="305" spans="1:16" ht="18.75" x14ac:dyDescent="0.25">
      <c r="A305" s="136"/>
      <c r="B305" s="41"/>
      <c r="C305" s="41"/>
      <c r="D305" s="41"/>
      <c r="E305" s="254" t="s">
        <v>19</v>
      </c>
      <c r="F305" s="41"/>
      <c r="G305" s="43"/>
      <c r="H305" s="142" t="s">
        <v>12</v>
      </c>
      <c r="I305" s="45"/>
      <c r="J305" s="45"/>
      <c r="K305" s="46"/>
      <c r="L305" s="47">
        <f ca="1">L308+L311</f>
        <v>152100</v>
      </c>
      <c r="M305" s="47">
        <f ca="1">M308+M311</f>
        <v>115000</v>
      </c>
      <c r="N305" s="47">
        <f ca="1">N308+N311</f>
        <v>0</v>
      </c>
      <c r="O305" s="47">
        <f ca="1">IF(L305&gt;0,N305*100/L305,0)</f>
        <v>0</v>
      </c>
      <c r="P305" s="47">
        <f ca="1">IF(M305&gt;0,N305*100/M305,0)</f>
        <v>0</v>
      </c>
    </row>
    <row r="306" spans="1:16" ht="18.75" x14ac:dyDescent="0.25">
      <c r="A306" s="136"/>
      <c r="B306" s="41"/>
      <c r="C306" s="41"/>
      <c r="D306" s="42" t="s">
        <v>20</v>
      </c>
      <c r="E306" s="41"/>
      <c r="F306" s="41"/>
      <c r="G306" s="43"/>
      <c r="H306" s="143" t="s">
        <v>12</v>
      </c>
      <c r="I306" s="144"/>
      <c r="J306" s="144"/>
      <c r="K306" s="145"/>
      <c r="L306" s="47">
        <f ca="1">L307+L308</f>
        <v>152100</v>
      </c>
      <c r="M306" s="47">
        <f ca="1">M307+M308</f>
        <v>115000</v>
      </c>
      <c r="N306" s="47">
        <f ca="1">N307+N308</f>
        <v>0</v>
      </c>
      <c r="O306" s="47">
        <f ca="1">IF(L306&gt;0,N306*100/L306,0)</f>
        <v>0</v>
      </c>
      <c r="P306" s="47">
        <f ca="1">IF(M306&gt;0,N306*100/M306,0)</f>
        <v>0</v>
      </c>
    </row>
    <row r="307" spans="1:16" ht="18.75" hidden="1" x14ac:dyDescent="0.25">
      <c r="A307" s="136"/>
      <c r="B307" s="41"/>
      <c r="C307" s="41"/>
      <c r="D307" s="41"/>
      <c r="E307" s="279" t="s">
        <v>34</v>
      </c>
      <c r="F307" s="41"/>
      <c r="G307" s="43"/>
      <c r="H307" s="146" t="s">
        <v>12</v>
      </c>
      <c r="I307" s="144"/>
      <c r="J307" s="144"/>
      <c r="K307" s="145"/>
      <c r="L307" s="50">
        <v>0</v>
      </c>
      <c r="M307" s="50">
        <v>0</v>
      </c>
      <c r="N307" s="50">
        <v>0</v>
      </c>
      <c r="O307" s="50">
        <f>IF(L307&gt;0,N307*100/L307,0)</f>
        <v>0</v>
      </c>
      <c r="P307" s="50">
        <f>IF(M307&gt;0,N307*100/M307,0)</f>
        <v>0</v>
      </c>
    </row>
    <row r="308" spans="1:16" ht="18.75" x14ac:dyDescent="0.25">
      <c r="A308" s="136"/>
      <c r="B308" s="41"/>
      <c r="C308" s="41"/>
      <c r="D308" s="41"/>
      <c r="E308" s="254" t="s">
        <v>35</v>
      </c>
      <c r="F308" s="41"/>
      <c r="G308" s="43"/>
      <c r="H308" s="143" t="s">
        <v>12</v>
      </c>
      <c r="I308" s="144"/>
      <c r="J308" s="144"/>
      <c r="K308" s="145"/>
      <c r="L308" s="47">
        <f ca="1">IFERROR(__xludf.DUMMYFUNCTION("IMPORTRANGE(""https://docs.google.com/spreadsheets/d/1-uDff_7J0KD5mKrp0Vvzr7lt3OU09vwQwhkpOPPYv2Y/edit?usp=sharing"",""งบพรบ!DY18"")"),152100)</f>
        <v>152100</v>
      </c>
      <c r="M308" s="47">
        <f ca="1">IFERROR(__xludf.DUMMYFUNCTION("IMPORTRANGE(""https://docs.google.com/spreadsheets/d/1-uDff_7J0KD5mKrp0Vvzr7lt3OU09vwQwhkpOPPYv2Y/edit?usp=sharing"",""งบพรบ!ED18"")"),115000)</f>
        <v>115000</v>
      </c>
      <c r="N308" s="47">
        <f ca="1">IFERROR(__xludf.DUMMYFUNCTION("IMPORTRANGE(""https://docs.google.com/spreadsheets/d/1-uDff_7J0KD5mKrp0Vvzr7lt3OU09vwQwhkpOPPYv2Y/edit?usp=sharing"",""งบพรบ!EF18"")"),0)</f>
        <v>0</v>
      </c>
      <c r="O308" s="47">
        <f ca="1">IF(L308&gt;0,N308*100/L308,0)</f>
        <v>0</v>
      </c>
      <c r="P308" s="47">
        <f ca="1">IF(M308&gt;0,N308*100/M308,0)</f>
        <v>0</v>
      </c>
    </row>
    <row r="309" spans="1:16" ht="18.75" x14ac:dyDescent="0.25">
      <c r="A309" s="136"/>
      <c r="B309" s="41"/>
      <c r="C309" s="41"/>
      <c r="D309" s="42" t="s">
        <v>21</v>
      </c>
      <c r="E309" s="41"/>
      <c r="F309" s="41"/>
      <c r="G309" s="43"/>
      <c r="H309" s="147" t="s">
        <v>12</v>
      </c>
      <c r="I309" s="144"/>
      <c r="J309" s="144"/>
      <c r="K309" s="145"/>
      <c r="L309" s="47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</row>
    <row r="310" spans="1:16" ht="18.75" hidden="1" x14ac:dyDescent="0.25">
      <c r="A310" s="136"/>
      <c r="B310" s="41"/>
      <c r="C310" s="41"/>
      <c r="D310" s="41"/>
      <c r="E310" s="279" t="s">
        <v>18</v>
      </c>
      <c r="F310" s="41"/>
      <c r="G310" s="43"/>
      <c r="H310" s="146" t="s">
        <v>12</v>
      </c>
      <c r="I310" s="144"/>
      <c r="J310" s="144"/>
      <c r="K310" s="145"/>
      <c r="L310" s="50">
        <v>0</v>
      </c>
      <c r="M310" s="50">
        <v>0</v>
      </c>
      <c r="N310" s="50">
        <v>0</v>
      </c>
      <c r="O310" s="50">
        <f>IF(L310&gt;0,N310*100/L310,0)</f>
        <v>0</v>
      </c>
      <c r="P310" s="50">
        <f>IF(M310&gt;0,N310*100/M310,0)</f>
        <v>0</v>
      </c>
    </row>
    <row r="311" spans="1:16" ht="18.75" x14ac:dyDescent="0.25">
      <c r="A311" s="136"/>
      <c r="B311" s="41"/>
      <c r="C311" s="41"/>
      <c r="D311" s="41"/>
      <c r="E311" s="254" t="s">
        <v>19</v>
      </c>
      <c r="F311" s="41"/>
      <c r="G311" s="43"/>
      <c r="H311" s="147" t="s">
        <v>12</v>
      </c>
      <c r="I311" s="144"/>
      <c r="J311" s="144"/>
      <c r="K311" s="145"/>
      <c r="L311" s="47">
        <f ca="1">IFERROR(__xludf.DUMMYFUNCTION("IMPORTRANGE(""https://docs.google.com/spreadsheets/d/1-uDff_7J0KD5mKrp0Vvzr7lt3OU09vwQwhkpOPPYv2Y/edit?usp=sharing"",""งบพรบ!EB18"")"),0)</f>
        <v>0</v>
      </c>
      <c r="M311" s="47">
        <f ca="1">IFERROR(__xludf.DUMMYFUNCTION("IMPORTRANGE(""https://docs.google.com/spreadsheets/d/1-uDff_7J0KD5mKrp0Vvzr7lt3OU09vwQwhkpOPPYv2Y/edit?usp=sharing"",""งบพรบ!EE18"")"),0)</f>
        <v>0</v>
      </c>
      <c r="N311" s="47">
        <f ca="1">IFERROR(__xludf.DUMMYFUNCTION("IMPORTRANGE(""https://docs.google.com/spreadsheets/d/1-uDff_7J0KD5mKrp0Vvzr7lt3OU09vwQwhkpOPPYv2Y/edit?usp=sharing"",""งบพรบ!EG18"")"),0)</f>
        <v>0</v>
      </c>
      <c r="O311" s="47">
        <f ca="1">IF(L311&gt;0,N311*100/L311,0)</f>
        <v>0</v>
      </c>
      <c r="P311" s="47">
        <f ca="1">IF(M311&gt;0,N311*100/M311,0)</f>
        <v>0</v>
      </c>
    </row>
    <row r="312" spans="1:16" ht="19.5" x14ac:dyDescent="0.3">
      <c r="A312" s="148"/>
      <c r="B312" s="149"/>
      <c r="C312" s="197" t="s">
        <v>16</v>
      </c>
      <c r="D312" s="395" t="s">
        <v>36</v>
      </c>
      <c r="E312" s="151"/>
      <c r="F312" s="151"/>
      <c r="G312" s="152"/>
      <c r="H312" s="153"/>
      <c r="I312" s="45"/>
      <c r="J312" s="45"/>
      <c r="K312" s="46"/>
      <c r="L312" s="46"/>
      <c r="M312" s="46"/>
      <c r="N312" s="46"/>
      <c r="O312" s="46"/>
      <c r="P312" s="46"/>
    </row>
    <row r="313" spans="1:16" ht="18.75" x14ac:dyDescent="0.25">
      <c r="A313" s="148"/>
      <c r="B313" s="149"/>
      <c r="C313" s="149"/>
      <c r="D313" s="159" t="s">
        <v>122</v>
      </c>
      <c r="E313" s="155"/>
      <c r="F313" s="155"/>
      <c r="G313" s="153"/>
      <c r="H313" s="153"/>
      <c r="I313" s="45"/>
      <c r="J313" s="250">
        <v>0</v>
      </c>
      <c r="K313" s="46"/>
      <c r="L313" s="46"/>
      <c r="M313" s="46"/>
      <c r="N313" s="46"/>
      <c r="O313" s="46"/>
      <c r="P313" s="46"/>
    </row>
    <row r="314" spans="1:16" ht="18.75" x14ac:dyDescent="0.25">
      <c r="A314" s="148"/>
      <c r="B314" s="149"/>
      <c r="C314" s="149"/>
      <c r="D314" s="159" t="s">
        <v>115</v>
      </c>
      <c r="E314" s="155"/>
      <c r="F314" s="155"/>
      <c r="G314" s="153"/>
      <c r="H314" s="251" t="s">
        <v>33</v>
      </c>
      <c r="I314" s="169">
        <f ca="1">IFERROR(__xludf.DUMMYFUNCTION("IMPORTRANGE(""https://docs.google.com/spreadsheets/d/1eHaY18a8A9IcSdp1K8H6x8fbOy06t2VsZHhMHf-1x7Y/edit?usp=sharing"",""แผน!EF18"")"),25)</f>
        <v>25</v>
      </c>
      <c r="J314" s="250">
        <v>0</v>
      </c>
      <c r="K314" s="47">
        <f ca="1">IF(I314&gt;0,J314*100/I314,0)</f>
        <v>0</v>
      </c>
      <c r="L314" s="46"/>
      <c r="M314" s="46"/>
      <c r="N314" s="46"/>
      <c r="O314" s="46"/>
      <c r="P314" s="46"/>
    </row>
    <row r="315" spans="1:16" ht="18.75" x14ac:dyDescent="0.25">
      <c r="A315" s="148"/>
      <c r="B315" s="149"/>
      <c r="C315" s="149"/>
      <c r="D315" s="159" t="s">
        <v>123</v>
      </c>
      <c r="E315" s="155"/>
      <c r="F315" s="155"/>
      <c r="G315" s="153"/>
      <c r="H315" s="251" t="s">
        <v>33</v>
      </c>
      <c r="I315" s="169">
        <f ca="1">IFERROR(__xludf.DUMMYFUNCTION("IMPORTRANGE(""https://docs.google.com/spreadsheets/d/1eHaY18a8A9IcSdp1K8H6x8fbOy06t2VsZHhMHf-1x7Y/edit?usp=sharing"",""แผน!EG18"")"),5)</f>
        <v>5</v>
      </c>
      <c r="J315" s="250">
        <v>0</v>
      </c>
      <c r="K315" s="47">
        <f ca="1">IF(I315&gt;0,J315*100/I315,0)</f>
        <v>0</v>
      </c>
      <c r="L315" s="46"/>
      <c r="M315" s="46"/>
      <c r="N315" s="46"/>
      <c r="O315" s="46"/>
      <c r="P315" s="46"/>
    </row>
    <row r="316" spans="1:16" ht="18.75" x14ac:dyDescent="0.25">
      <c r="A316" s="148"/>
      <c r="B316" s="149"/>
      <c r="C316" s="149"/>
      <c r="D316" s="159" t="s">
        <v>48</v>
      </c>
      <c r="E316" s="155"/>
      <c r="F316" s="155"/>
      <c r="G316" s="153"/>
      <c r="H316" s="251" t="s">
        <v>33</v>
      </c>
      <c r="I316" s="169">
        <f ca="1">IFERROR(__xludf.DUMMYFUNCTION("IMPORTRANGE(""https://docs.google.com/spreadsheets/d/1eHaY18a8A9IcSdp1K8H6x8fbOy06t2VsZHhMHf-1x7Y/edit?usp=sharing"",""แผน!EH18"")"),25)</f>
        <v>25</v>
      </c>
      <c r="J316" s="250">
        <v>0</v>
      </c>
      <c r="K316" s="47">
        <f ca="1">IF(I316&gt;0,J316*100/I316,0)</f>
        <v>0</v>
      </c>
      <c r="L316" s="46"/>
      <c r="M316" s="46"/>
      <c r="N316" s="46"/>
      <c r="O316" s="46"/>
      <c r="P316" s="46"/>
    </row>
    <row r="317" spans="1:16" ht="18.75" hidden="1" x14ac:dyDescent="0.25">
      <c r="A317" s="227"/>
      <c r="B317" s="228"/>
      <c r="C317" s="228"/>
      <c r="D317" s="279" t="s">
        <v>124</v>
      </c>
      <c r="E317" s="41"/>
      <c r="F317" s="41"/>
      <c r="G317" s="43"/>
      <c r="H317" s="49" t="s">
        <v>33</v>
      </c>
      <c r="I317" s="200">
        <f ca="1">IFERROR(__xludf.DUMMYFUNCTION("IMPORTRANGE(""https://docs.google.com/spreadsheets/d/1eHaY18a8A9IcSdp1K8H6x8fbOy06t2VsZHhMHf-1x7Y/edit?usp=sharing"",""แผน!EI18"")"),5)</f>
        <v>5</v>
      </c>
      <c r="J317" s="200">
        <v>0</v>
      </c>
      <c r="K317" s="50">
        <f ca="1">IF(I317&gt;0,J317*100/I317,0)</f>
        <v>0</v>
      </c>
      <c r="L317" s="46"/>
      <c r="M317" s="46"/>
      <c r="N317" s="46"/>
      <c r="O317" s="46"/>
      <c r="P317" s="46"/>
    </row>
    <row r="318" spans="1:16" ht="19.5" hidden="1" x14ac:dyDescent="0.3">
      <c r="A318" s="317" t="s">
        <v>125</v>
      </c>
      <c r="B318" s="318"/>
      <c r="C318" s="318"/>
      <c r="D318" s="319"/>
      <c r="E318" s="318"/>
      <c r="F318" s="318"/>
      <c r="G318" s="318"/>
      <c r="H318" s="319"/>
      <c r="I318" s="321"/>
      <c r="J318" s="321"/>
      <c r="K318" s="322"/>
      <c r="L318" s="322"/>
      <c r="M318" s="322"/>
      <c r="N318" s="322"/>
      <c r="O318" s="322"/>
      <c r="P318" s="322"/>
    </row>
    <row r="319" spans="1:16" ht="19.5" hidden="1" x14ac:dyDescent="0.3">
      <c r="A319" s="331"/>
      <c r="B319" s="324" t="s">
        <v>126</v>
      </c>
      <c r="C319" s="332"/>
      <c r="D319" s="333"/>
      <c r="E319" s="325"/>
      <c r="F319" s="325"/>
      <c r="G319" s="326"/>
      <c r="H319" s="327" t="s">
        <v>127</v>
      </c>
      <c r="I319" s="328">
        <f ca="1">I330</f>
        <v>0</v>
      </c>
      <c r="J319" s="328">
        <f>J330</f>
        <v>0</v>
      </c>
      <c r="K319" s="329">
        <f ca="1">IF(I319&gt;0,J319*100/I319,0)</f>
        <v>0</v>
      </c>
      <c r="L319" s="330"/>
      <c r="M319" s="330"/>
      <c r="N319" s="330"/>
      <c r="O319" s="330"/>
      <c r="P319" s="330"/>
    </row>
    <row r="320" spans="1:16" ht="19.5" hidden="1" x14ac:dyDescent="0.3">
      <c r="A320" s="136"/>
      <c r="B320" s="41"/>
      <c r="C320" s="197" t="s">
        <v>16</v>
      </c>
      <c r="D320" s="397" t="s">
        <v>17</v>
      </c>
      <c r="E320" s="41"/>
      <c r="F320" s="41"/>
      <c r="G320" s="43"/>
      <c r="H320" s="139" t="s">
        <v>12</v>
      </c>
      <c r="I320" s="45"/>
      <c r="J320" s="45"/>
      <c r="K320" s="46"/>
      <c r="L320" s="140">
        <f ca="1">L321+L322</f>
        <v>0</v>
      </c>
      <c r="M320" s="140">
        <f ca="1">M321+M322</f>
        <v>0</v>
      </c>
      <c r="N320" s="140">
        <f ca="1">N321+N322</f>
        <v>0</v>
      </c>
      <c r="O320" s="140">
        <f ca="1">IF(L320&gt;0,N320*100/L320,0)</f>
        <v>0</v>
      </c>
      <c r="P320" s="140">
        <f ca="1">IF(M320&gt;0,N320*100/M320,0)</f>
        <v>0</v>
      </c>
    </row>
    <row r="321" spans="1:16" ht="18.75" hidden="1" x14ac:dyDescent="0.25">
      <c r="A321" s="136"/>
      <c r="B321" s="41"/>
      <c r="C321" s="41"/>
      <c r="D321" s="41"/>
      <c r="E321" s="279" t="s">
        <v>18</v>
      </c>
      <c r="F321" s="41"/>
      <c r="G321" s="43"/>
      <c r="H321" s="141" t="s">
        <v>12</v>
      </c>
      <c r="I321" s="45"/>
      <c r="J321" s="45"/>
      <c r="K321" s="46"/>
      <c r="L321" s="50">
        <f>L324+L327</f>
        <v>0</v>
      </c>
      <c r="M321" s="50">
        <f>M324+M327</f>
        <v>0</v>
      </c>
      <c r="N321" s="50">
        <f>N324+N327</f>
        <v>0</v>
      </c>
      <c r="O321" s="50">
        <f>IF(L321&gt;0,N321*100/L321,0)</f>
        <v>0</v>
      </c>
      <c r="P321" s="50">
        <f>IF(M321&gt;0,N321*100/M321,0)</f>
        <v>0</v>
      </c>
    </row>
    <row r="322" spans="1:16" ht="18.75" hidden="1" x14ac:dyDescent="0.25">
      <c r="A322" s="136"/>
      <c r="B322" s="41"/>
      <c r="C322" s="41"/>
      <c r="D322" s="41"/>
      <c r="E322" s="254" t="s">
        <v>19</v>
      </c>
      <c r="F322" s="41"/>
      <c r="G322" s="43"/>
      <c r="H322" s="142" t="s">
        <v>12</v>
      </c>
      <c r="I322" s="45"/>
      <c r="J322" s="45"/>
      <c r="K322" s="46"/>
      <c r="L322" s="47">
        <f ca="1">L325+L328</f>
        <v>0</v>
      </c>
      <c r="M322" s="47">
        <f ca="1">M325+M328</f>
        <v>0</v>
      </c>
      <c r="N322" s="47">
        <f ca="1">N325+N328</f>
        <v>0</v>
      </c>
      <c r="O322" s="47">
        <f ca="1">IF(L322&gt;0,N322*100/L322,0)</f>
        <v>0</v>
      </c>
      <c r="P322" s="47">
        <f ca="1">IF(M322&gt;0,N322*100/M322,0)</f>
        <v>0</v>
      </c>
    </row>
    <row r="323" spans="1:16" ht="18.75" hidden="1" x14ac:dyDescent="0.25">
      <c r="A323" s="136"/>
      <c r="B323" s="41"/>
      <c r="C323" s="41"/>
      <c r="D323" s="42" t="s">
        <v>20</v>
      </c>
      <c r="E323" s="41"/>
      <c r="F323" s="41"/>
      <c r="G323" s="43"/>
      <c r="H323" s="143" t="s">
        <v>12</v>
      </c>
      <c r="I323" s="144"/>
      <c r="J323" s="144"/>
      <c r="K323" s="145"/>
      <c r="L323" s="47">
        <f ca="1">L324+L325</f>
        <v>0</v>
      </c>
      <c r="M323" s="47">
        <f ca="1">M324+M325</f>
        <v>0</v>
      </c>
      <c r="N323" s="47">
        <f ca="1">N324+N325</f>
        <v>0</v>
      </c>
      <c r="O323" s="47">
        <f ca="1">IF(L323&gt;0,N323*100/L323,0)</f>
        <v>0</v>
      </c>
      <c r="P323" s="47">
        <f ca="1">IF(M323&gt;0,N323*100/M323,0)</f>
        <v>0</v>
      </c>
    </row>
    <row r="324" spans="1:16" ht="18.75" hidden="1" x14ac:dyDescent="0.25">
      <c r="A324" s="136"/>
      <c r="B324" s="41"/>
      <c r="C324" s="41"/>
      <c r="D324" s="41"/>
      <c r="E324" s="279" t="s">
        <v>34</v>
      </c>
      <c r="F324" s="41"/>
      <c r="G324" s="43"/>
      <c r="H324" s="146" t="s">
        <v>12</v>
      </c>
      <c r="I324" s="144"/>
      <c r="J324" s="144"/>
      <c r="K324" s="145"/>
      <c r="L324" s="50">
        <v>0</v>
      </c>
      <c r="M324" s="50">
        <v>0</v>
      </c>
      <c r="N324" s="50">
        <v>0</v>
      </c>
      <c r="O324" s="50">
        <f>IF(L324&gt;0,N324*100/L324,0)</f>
        <v>0</v>
      </c>
      <c r="P324" s="50">
        <f>IF(M324&gt;0,N324*100/M324,0)</f>
        <v>0</v>
      </c>
    </row>
    <row r="325" spans="1:16" ht="18.75" hidden="1" x14ac:dyDescent="0.25">
      <c r="A325" s="136"/>
      <c r="B325" s="41"/>
      <c r="C325" s="41"/>
      <c r="D325" s="41"/>
      <c r="E325" s="254" t="s">
        <v>35</v>
      </c>
      <c r="F325" s="41"/>
      <c r="G325" s="43"/>
      <c r="H325" s="143" t="s">
        <v>12</v>
      </c>
      <c r="I325" s="144"/>
      <c r="J325" s="144"/>
      <c r="K325" s="145"/>
      <c r="L325" s="47">
        <f ca="1">IFERROR(__xludf.DUMMYFUNCTION("IMPORTRANGE(""https://docs.google.com/spreadsheets/d/1-uDff_7J0KD5mKrp0Vvzr7lt3OU09vwQwhkpOPPYv2Y/edit?usp=sharing"",""งบพรบ!EI18"")"),0)</f>
        <v>0</v>
      </c>
      <c r="M325" s="47">
        <f ca="1">IFERROR(__xludf.DUMMYFUNCTION("IMPORTRANGE(""https://docs.google.com/spreadsheets/d/1-uDff_7J0KD5mKrp0Vvzr7lt3OU09vwQwhkpOPPYv2Y/edit?usp=sharing"",""งบพรบ!EN18"")"),0)</f>
        <v>0</v>
      </c>
      <c r="N325" s="47">
        <f ca="1">IFERROR(__xludf.DUMMYFUNCTION("IMPORTRANGE(""https://docs.google.com/spreadsheets/d/1-uDff_7J0KD5mKrp0Vvzr7lt3OU09vwQwhkpOPPYv2Y/edit?usp=sharing"",""งบพรบ!EP18"")"),0)</f>
        <v>0</v>
      </c>
      <c r="O325" s="47">
        <f ca="1">IF(L325&gt;0,N325*100/L325,0)</f>
        <v>0</v>
      </c>
      <c r="P325" s="47">
        <f ca="1">IF(M325&gt;0,N325*100/M325,0)</f>
        <v>0</v>
      </c>
    </row>
    <row r="326" spans="1:16" ht="18.75" hidden="1" x14ac:dyDescent="0.25">
      <c r="A326" s="136"/>
      <c r="B326" s="41"/>
      <c r="C326" s="41"/>
      <c r="D326" s="42" t="s">
        <v>21</v>
      </c>
      <c r="E326" s="41"/>
      <c r="F326" s="41"/>
      <c r="G326" s="43"/>
      <c r="H326" s="147" t="s">
        <v>12</v>
      </c>
      <c r="I326" s="144"/>
      <c r="J326" s="144"/>
      <c r="K326" s="145"/>
      <c r="L326" s="47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</row>
    <row r="327" spans="1:16" ht="18.75" hidden="1" x14ac:dyDescent="0.25">
      <c r="A327" s="136"/>
      <c r="B327" s="41"/>
      <c r="C327" s="41"/>
      <c r="D327" s="41"/>
      <c r="E327" s="279" t="s">
        <v>18</v>
      </c>
      <c r="F327" s="41"/>
      <c r="G327" s="43"/>
      <c r="H327" s="146" t="s">
        <v>12</v>
      </c>
      <c r="I327" s="144"/>
      <c r="J327" s="144"/>
      <c r="K327" s="145"/>
      <c r="L327" s="50">
        <v>0</v>
      </c>
      <c r="M327" s="50">
        <v>0</v>
      </c>
      <c r="N327" s="50">
        <v>0</v>
      </c>
      <c r="O327" s="50">
        <f>IF(L327&gt;0,N327*100/L327,0)</f>
        <v>0</v>
      </c>
      <c r="P327" s="50">
        <f>IF(M327&gt;0,N327*100/M327,0)</f>
        <v>0</v>
      </c>
    </row>
    <row r="328" spans="1:16" ht="18.75" hidden="1" x14ac:dyDescent="0.25">
      <c r="A328" s="136"/>
      <c r="B328" s="41"/>
      <c r="C328" s="41"/>
      <c r="D328" s="41"/>
      <c r="E328" s="254" t="s">
        <v>19</v>
      </c>
      <c r="F328" s="41"/>
      <c r="G328" s="43"/>
      <c r="H328" s="147" t="s">
        <v>12</v>
      </c>
      <c r="I328" s="144"/>
      <c r="J328" s="144"/>
      <c r="K328" s="145"/>
      <c r="L328" s="47">
        <f ca="1">IFERROR(__xludf.DUMMYFUNCTION("IMPORTRANGE(""https://docs.google.com/spreadsheets/d/1-uDff_7J0KD5mKrp0Vvzr7lt3OU09vwQwhkpOPPYv2Y/edit?usp=sharing"",""งบพรบ!EL18"")"),0)</f>
        <v>0</v>
      </c>
      <c r="M328" s="47">
        <f ca="1">IFERROR(__xludf.DUMMYFUNCTION("IMPORTRANGE(""https://docs.google.com/spreadsheets/d/1-uDff_7J0KD5mKrp0Vvzr7lt3OU09vwQwhkpOPPYv2Y/edit?usp=sharing"",""งบพรบ!EO18"")"),0)</f>
        <v>0</v>
      </c>
      <c r="N328" s="47">
        <f ca="1">IFERROR(__xludf.DUMMYFUNCTION("IMPORTRANGE(""https://docs.google.com/spreadsheets/d/1-uDff_7J0KD5mKrp0Vvzr7lt3OU09vwQwhkpOPPYv2Y/edit?usp=sharing"",""งบพรบ!EQ18"")"),0)</f>
        <v>0</v>
      </c>
      <c r="O328" s="47">
        <f ca="1">IF(L328&gt;0,N328*100/L328,0)</f>
        <v>0</v>
      </c>
      <c r="P328" s="47">
        <f ca="1">IF(M328&gt;0,N328*100/M328,0)</f>
        <v>0</v>
      </c>
    </row>
    <row r="329" spans="1:16" ht="19.5" hidden="1" x14ac:dyDescent="0.3">
      <c r="A329" s="148"/>
      <c r="B329" s="149"/>
      <c r="C329" s="197" t="s">
        <v>16</v>
      </c>
      <c r="D329" s="395" t="s">
        <v>36</v>
      </c>
      <c r="E329" s="151"/>
      <c r="F329" s="151"/>
      <c r="G329" s="152"/>
      <c r="H329" s="153"/>
      <c r="I329" s="144"/>
      <c r="J329" s="45"/>
      <c r="K329" s="46"/>
      <c r="L329" s="46"/>
      <c r="M329" s="46"/>
      <c r="N329" s="46"/>
      <c r="O329" s="145"/>
      <c r="P329" s="145"/>
    </row>
    <row r="330" spans="1:16" ht="18.75" hidden="1" x14ac:dyDescent="0.25">
      <c r="A330" s="148"/>
      <c r="B330" s="149"/>
      <c r="C330" s="149"/>
      <c r="D330" s="154" t="s">
        <v>128</v>
      </c>
      <c r="E330" s="155"/>
      <c r="F330" s="155"/>
      <c r="G330" s="153"/>
      <c r="H330" s="44" t="s">
        <v>127</v>
      </c>
      <c r="I330" s="169">
        <f ca="1">IFERROR(__xludf.DUMMYFUNCTION("IMPORTRANGE(""https://docs.google.com/spreadsheets/d/1eHaY18a8A9IcSdp1K8H6x8fbOy06t2VsZHhMHf-1x7Y/edit?usp=sharing"",""แผน!EJ18"")"),0)</f>
        <v>0</v>
      </c>
      <c r="J330" s="250">
        <v>0</v>
      </c>
      <c r="K330" s="47">
        <f ca="1">IF(I330&gt;0,J330*100/I330,0)</f>
        <v>0</v>
      </c>
      <c r="L330" s="46"/>
      <c r="M330" s="46"/>
      <c r="N330" s="46"/>
      <c r="O330" s="145"/>
      <c r="P330" s="145"/>
    </row>
    <row r="331" spans="1:16" ht="19.5" x14ac:dyDescent="0.3">
      <c r="A331" s="317" t="s">
        <v>129</v>
      </c>
      <c r="B331" s="318"/>
      <c r="C331" s="318"/>
      <c r="D331" s="319"/>
      <c r="E331" s="318"/>
      <c r="F331" s="318"/>
      <c r="G331" s="318"/>
      <c r="H331" s="319"/>
      <c r="I331" s="321"/>
      <c r="J331" s="321"/>
      <c r="K331" s="322"/>
      <c r="L331" s="322"/>
      <c r="M331" s="322"/>
      <c r="N331" s="322"/>
      <c r="O331" s="322"/>
      <c r="P331" s="322"/>
    </row>
    <row r="332" spans="1:16" ht="19.5" x14ac:dyDescent="0.3">
      <c r="A332" s="323"/>
      <c r="B332" s="324" t="s">
        <v>130</v>
      </c>
      <c r="C332" s="333"/>
      <c r="D332" s="325"/>
      <c r="E332" s="325"/>
      <c r="F332" s="325"/>
      <c r="G332" s="326"/>
      <c r="H332" s="327" t="s">
        <v>33</v>
      </c>
      <c r="I332" s="334">
        <f ca="1">I344</f>
        <v>2340</v>
      </c>
      <c r="J332" s="335">
        <f ca="1">J344+J347+J348+J349+J353</f>
        <v>995</v>
      </c>
      <c r="K332" s="336">
        <f ca="1">IF(I332&gt;0,J332*100/I332,0)</f>
        <v>42.521367521367523</v>
      </c>
      <c r="L332" s="330"/>
      <c r="M332" s="330"/>
      <c r="N332" s="330"/>
      <c r="O332" s="330"/>
      <c r="P332" s="330"/>
    </row>
    <row r="333" spans="1:16" ht="19.5" x14ac:dyDescent="0.3">
      <c r="A333" s="136"/>
      <c r="B333" s="41"/>
      <c r="C333" s="197" t="s">
        <v>16</v>
      </c>
      <c r="D333" s="397" t="s">
        <v>17</v>
      </c>
      <c r="E333" s="41"/>
      <c r="F333" s="41"/>
      <c r="G333" s="43"/>
      <c r="H333" s="139" t="s">
        <v>12</v>
      </c>
      <c r="I333" s="45"/>
      <c r="J333" s="45"/>
      <c r="K333" s="46"/>
      <c r="L333" s="140">
        <f ca="1">L334+L335</f>
        <v>113000</v>
      </c>
      <c r="M333" s="140">
        <f ca="1">M334+M335</f>
        <v>88150</v>
      </c>
      <c r="N333" s="140">
        <f ca="1">N334+N335</f>
        <v>18624</v>
      </c>
      <c r="O333" s="140">
        <f ca="1">IF(L333&gt;0,N333*100/L333,0)</f>
        <v>16.481415929203539</v>
      </c>
      <c r="P333" s="140">
        <f ca="1">IF(M333&gt;0,N333*100/M333,0)</f>
        <v>21.127623369256948</v>
      </c>
    </row>
    <row r="334" spans="1:16" ht="18.75" hidden="1" x14ac:dyDescent="0.25">
      <c r="A334" s="136"/>
      <c r="B334" s="41"/>
      <c r="C334" s="41"/>
      <c r="D334" s="41"/>
      <c r="E334" s="279" t="s">
        <v>18</v>
      </c>
      <c r="F334" s="41"/>
      <c r="G334" s="43"/>
      <c r="H334" s="141" t="s">
        <v>12</v>
      </c>
      <c r="I334" s="45"/>
      <c r="J334" s="45"/>
      <c r="K334" s="46"/>
      <c r="L334" s="50">
        <f>L337+L340</f>
        <v>0</v>
      </c>
      <c r="M334" s="50">
        <f>M337+M340</f>
        <v>0</v>
      </c>
      <c r="N334" s="50">
        <f>N337+N340</f>
        <v>0</v>
      </c>
      <c r="O334" s="50">
        <f>IF(L334&gt;0,N334*100/L334,0)</f>
        <v>0</v>
      </c>
      <c r="P334" s="50">
        <f>IF(M334&gt;0,N334*100/M334,0)</f>
        <v>0</v>
      </c>
    </row>
    <row r="335" spans="1:16" ht="18.75" x14ac:dyDescent="0.25">
      <c r="A335" s="136"/>
      <c r="B335" s="41"/>
      <c r="C335" s="41"/>
      <c r="D335" s="41"/>
      <c r="E335" s="254" t="s">
        <v>19</v>
      </c>
      <c r="F335" s="41"/>
      <c r="G335" s="43"/>
      <c r="H335" s="142" t="s">
        <v>12</v>
      </c>
      <c r="I335" s="45"/>
      <c r="J335" s="45"/>
      <c r="K335" s="46"/>
      <c r="L335" s="47">
        <f ca="1">L338+L341</f>
        <v>113000</v>
      </c>
      <c r="M335" s="47">
        <f ca="1">M338+M341</f>
        <v>88150</v>
      </c>
      <c r="N335" s="47">
        <f ca="1">N338+N341</f>
        <v>18624</v>
      </c>
      <c r="O335" s="47">
        <f ca="1">IF(L335&gt;0,N335*100/L335,0)</f>
        <v>16.481415929203539</v>
      </c>
      <c r="P335" s="47">
        <f ca="1">IF(M335&gt;0,N335*100/M335,0)</f>
        <v>21.127623369256948</v>
      </c>
    </row>
    <row r="336" spans="1:16" ht="18.75" x14ac:dyDescent="0.25">
      <c r="A336" s="136"/>
      <c r="B336" s="41"/>
      <c r="C336" s="41"/>
      <c r="D336" s="42" t="s">
        <v>20</v>
      </c>
      <c r="E336" s="41"/>
      <c r="F336" s="41"/>
      <c r="G336" s="43"/>
      <c r="H336" s="143" t="s">
        <v>12</v>
      </c>
      <c r="I336" s="144"/>
      <c r="J336" s="144"/>
      <c r="K336" s="145"/>
      <c r="L336" s="47">
        <f ca="1">L337+L338</f>
        <v>113000</v>
      </c>
      <c r="M336" s="47">
        <f ca="1">M337+M338</f>
        <v>88150</v>
      </c>
      <c r="N336" s="47">
        <f ca="1">N337+N338</f>
        <v>18624</v>
      </c>
      <c r="O336" s="47">
        <f ca="1">IF(L336&gt;0,N336*100/L336,0)</f>
        <v>16.481415929203539</v>
      </c>
      <c r="P336" s="47">
        <f ca="1">IF(M336&gt;0,N336*100/M336,0)</f>
        <v>21.127623369256948</v>
      </c>
    </row>
    <row r="337" spans="1:16" ht="18.75" hidden="1" x14ac:dyDescent="0.25">
      <c r="A337" s="136"/>
      <c r="B337" s="41"/>
      <c r="C337" s="41"/>
      <c r="D337" s="41"/>
      <c r="E337" s="279" t="s">
        <v>34</v>
      </c>
      <c r="F337" s="41"/>
      <c r="G337" s="43"/>
      <c r="H337" s="146" t="s">
        <v>12</v>
      </c>
      <c r="I337" s="144"/>
      <c r="J337" s="144"/>
      <c r="K337" s="145"/>
      <c r="L337" s="50">
        <v>0</v>
      </c>
      <c r="M337" s="50">
        <v>0</v>
      </c>
      <c r="N337" s="50">
        <v>0</v>
      </c>
      <c r="O337" s="50">
        <f>IF(L337&gt;0,N337*100/L337,0)</f>
        <v>0</v>
      </c>
      <c r="P337" s="50">
        <f>IF(M337&gt;0,N337*100/M337,0)</f>
        <v>0</v>
      </c>
    </row>
    <row r="338" spans="1:16" ht="18.75" x14ac:dyDescent="0.25">
      <c r="A338" s="136"/>
      <c r="B338" s="41"/>
      <c r="C338" s="41"/>
      <c r="D338" s="41"/>
      <c r="E338" s="254" t="s">
        <v>35</v>
      </c>
      <c r="F338" s="41"/>
      <c r="G338" s="43"/>
      <c r="H338" s="143" t="s">
        <v>12</v>
      </c>
      <c r="I338" s="144"/>
      <c r="J338" s="144"/>
      <c r="K338" s="145"/>
      <c r="L338" s="47">
        <f ca="1">IFERROR(__xludf.DUMMYFUNCTION("IMPORTRANGE(""https://docs.google.com/spreadsheets/d/1-uDff_7J0KD5mKrp0Vvzr7lt3OU09vwQwhkpOPPYv2Y/edit?usp=sharing"",""งบพรบ!ES18"")"),113000)</f>
        <v>113000</v>
      </c>
      <c r="M338" s="47">
        <f ca="1">IFERROR(__xludf.DUMMYFUNCTION("IMPORTRANGE(""https://docs.google.com/spreadsheets/d/1-uDff_7J0KD5mKrp0Vvzr7lt3OU09vwQwhkpOPPYv2Y/edit?usp=sharing"",""งบพรบ!EX18"")"),88150)</f>
        <v>88150</v>
      </c>
      <c r="N338" s="47">
        <f ca="1">IFERROR(__xludf.DUMMYFUNCTION("IMPORTRANGE(""https://docs.google.com/spreadsheets/d/1-uDff_7J0KD5mKrp0Vvzr7lt3OU09vwQwhkpOPPYv2Y/edit?usp=sharing"",""งบพรบ!EZ18"")"),18624)</f>
        <v>18624</v>
      </c>
      <c r="O338" s="47">
        <f ca="1">IF(L338&gt;0,N338*100/L338,0)</f>
        <v>16.481415929203539</v>
      </c>
      <c r="P338" s="47">
        <f ca="1">IF(M338&gt;0,N338*100/M338,0)</f>
        <v>21.127623369256948</v>
      </c>
    </row>
    <row r="339" spans="1:16" ht="18.75" x14ac:dyDescent="0.25">
      <c r="A339" s="136"/>
      <c r="B339" s="41"/>
      <c r="C339" s="41"/>
      <c r="D339" s="42" t="s">
        <v>21</v>
      </c>
      <c r="E339" s="41"/>
      <c r="F339" s="41"/>
      <c r="G339" s="43"/>
      <c r="H339" s="147" t="s">
        <v>12</v>
      </c>
      <c r="I339" s="144"/>
      <c r="J339" s="144"/>
      <c r="K339" s="145"/>
      <c r="L339" s="47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</row>
    <row r="340" spans="1:16" ht="18.75" hidden="1" x14ac:dyDescent="0.25">
      <c r="A340" s="136"/>
      <c r="B340" s="41"/>
      <c r="C340" s="41"/>
      <c r="D340" s="41"/>
      <c r="E340" s="279" t="s">
        <v>18</v>
      </c>
      <c r="F340" s="41"/>
      <c r="G340" s="43"/>
      <c r="H340" s="146" t="s">
        <v>12</v>
      </c>
      <c r="I340" s="144"/>
      <c r="J340" s="144"/>
      <c r="K340" s="145"/>
      <c r="L340" s="50">
        <v>0</v>
      </c>
      <c r="M340" s="50">
        <v>0</v>
      </c>
      <c r="N340" s="50">
        <v>0</v>
      </c>
      <c r="O340" s="50">
        <f>IF(L340&gt;0,N340*100/L340,0)</f>
        <v>0</v>
      </c>
      <c r="P340" s="50">
        <f>IF(M340&gt;0,N340*100/M340,0)</f>
        <v>0</v>
      </c>
    </row>
    <row r="341" spans="1:16" ht="18.75" x14ac:dyDescent="0.25">
      <c r="A341" s="136"/>
      <c r="B341" s="41"/>
      <c r="C341" s="41"/>
      <c r="D341" s="41"/>
      <c r="E341" s="254" t="s">
        <v>19</v>
      </c>
      <c r="F341" s="41"/>
      <c r="G341" s="43"/>
      <c r="H341" s="147" t="s">
        <v>12</v>
      </c>
      <c r="I341" s="144"/>
      <c r="J341" s="144"/>
      <c r="K341" s="145"/>
      <c r="L341" s="47">
        <f ca="1">IFERROR(__xludf.DUMMYFUNCTION("IMPORTRANGE(""https://docs.google.com/spreadsheets/d/1-uDff_7J0KD5mKrp0Vvzr7lt3OU09vwQwhkpOPPYv2Y/edit?usp=sharing"",""งบพรบ!EV18"")"),0)</f>
        <v>0</v>
      </c>
      <c r="M341" s="47">
        <f ca="1">IFERROR(__xludf.DUMMYFUNCTION("IMPORTRANGE(""https://docs.google.com/spreadsheets/d/1-uDff_7J0KD5mKrp0Vvzr7lt3OU09vwQwhkpOPPYv2Y/edit?usp=sharing"",""งบพรบ!EY18"")"),0)</f>
        <v>0</v>
      </c>
      <c r="N341" s="47">
        <f ca="1">IFERROR(__xludf.DUMMYFUNCTION("IMPORTRANGE(""https://docs.google.com/spreadsheets/d/1-uDff_7J0KD5mKrp0Vvzr7lt3OU09vwQwhkpOPPYv2Y/edit?usp=sharing"",""งบพรบ!FA18"")"),0)</f>
        <v>0</v>
      </c>
      <c r="O341" s="47">
        <f ca="1">IF(L341&gt;0,N341*100/L341,0)</f>
        <v>0</v>
      </c>
      <c r="P341" s="47">
        <f ca="1">IF(M341&gt;0,N341*100/M341,0)</f>
        <v>0</v>
      </c>
    </row>
    <row r="342" spans="1:16" ht="19.5" x14ac:dyDescent="0.3">
      <c r="A342" s="148"/>
      <c r="B342" s="149"/>
      <c r="C342" s="197" t="s">
        <v>16</v>
      </c>
      <c r="D342" s="221" t="s">
        <v>36</v>
      </c>
      <c r="E342" s="151"/>
      <c r="F342" s="151"/>
      <c r="G342" s="152"/>
      <c r="H342" s="43"/>
      <c r="I342" s="45"/>
      <c r="J342" s="45"/>
      <c r="K342" s="46"/>
      <c r="L342" s="46"/>
      <c r="M342" s="46"/>
      <c r="N342" s="46"/>
      <c r="O342" s="145"/>
      <c r="P342" s="145"/>
    </row>
    <row r="343" spans="1:16" ht="19.5" x14ac:dyDescent="0.3">
      <c r="A343" s="337"/>
      <c r="B343" s="338"/>
      <c r="C343" s="339"/>
      <c r="D343" s="338"/>
      <c r="E343" s="398" t="s">
        <v>131</v>
      </c>
      <c r="F343" s="338"/>
      <c r="G343" s="341"/>
      <c r="H343" s="342" t="s">
        <v>33</v>
      </c>
      <c r="I343" s="343">
        <v>0</v>
      </c>
      <c r="J343" s="343">
        <f ca="1">J344+J347+J348+J349</f>
        <v>633</v>
      </c>
      <c r="K343" s="344">
        <v>0</v>
      </c>
      <c r="L343" s="345"/>
      <c r="M343" s="345"/>
      <c r="N343" s="345"/>
      <c r="O343" s="345"/>
      <c r="P343" s="345"/>
    </row>
    <row r="344" spans="1:16" ht="18.75" x14ac:dyDescent="0.25">
      <c r="A344" s="227"/>
      <c r="B344" s="41"/>
      <c r="C344" s="228"/>
      <c r="D344" s="155"/>
      <c r="E344" s="159" t="s">
        <v>132</v>
      </c>
      <c r="F344" s="41"/>
      <c r="G344" s="43"/>
      <c r="H344" s="230" t="s">
        <v>33</v>
      </c>
      <c r="I344" s="169">
        <f ca="1">IFERROR(__xludf.DUMMYFUNCTION("IMPORTRANGE(""https://docs.google.com/spreadsheets/d/1eHaY18a8A9IcSdp1K8H6x8fbOy06t2VsZHhMHf-1x7Y/edit?usp=sharing"",""แผน!EK18"")"),2340)</f>
        <v>2340</v>
      </c>
      <c r="J344" s="169">
        <f ca="1">IFERROR(__xludf.DUMMYFUNCTION("IMPORTRANGE(""https://docs.google.com/spreadsheets/d/1awYsYK3VOup2i3Pq_Yjnu8DRu_mYwSBnCR2QPthd0rU/edit?usp=sharing"",""ศูนย์ยกเว้นโฉนด!D18"")"),632)</f>
        <v>632</v>
      </c>
      <c r="K344" s="47">
        <f ca="1">IF(I344&gt;0,J344*100/I344,0)</f>
        <v>27.008547008547009</v>
      </c>
      <c r="L344" s="46"/>
      <c r="M344" s="46"/>
      <c r="N344" s="46"/>
      <c r="O344" s="46"/>
      <c r="P344" s="46"/>
    </row>
    <row r="345" spans="1:16" ht="18.75" x14ac:dyDescent="0.25">
      <c r="A345" s="227"/>
      <c r="B345" s="41"/>
      <c r="C345" s="228"/>
      <c r="D345" s="155"/>
      <c r="E345" s="159" t="s">
        <v>133</v>
      </c>
      <c r="F345" s="41"/>
      <c r="G345" s="43"/>
      <c r="H345" s="346"/>
      <c r="I345" s="45"/>
      <c r="J345" s="45"/>
      <c r="K345" s="46"/>
      <c r="L345" s="46"/>
      <c r="M345" s="46"/>
      <c r="N345" s="46"/>
      <c r="O345" s="46"/>
      <c r="P345" s="46"/>
    </row>
    <row r="346" spans="1:16" ht="18.75" x14ac:dyDescent="0.25">
      <c r="A346" s="227"/>
      <c r="B346" s="41"/>
      <c r="C346" s="228"/>
      <c r="D346" s="155"/>
      <c r="E346" s="155"/>
      <c r="F346" s="159" t="s">
        <v>134</v>
      </c>
      <c r="G346" s="43"/>
      <c r="H346" s="347" t="s">
        <v>135</v>
      </c>
      <c r="I346" s="169">
        <f ca="1">IFERROR(__xludf.DUMMYFUNCTION("IMPORTRANGE(""https://docs.google.com/spreadsheets/d/1eHaY18a8A9IcSdp1K8H6x8fbOy06t2VsZHhMHf-1x7Y/edit?usp=sharing"",""แผน!EL18"")"),5)</f>
        <v>5</v>
      </c>
      <c r="J346" s="169">
        <f ca="1">IFERROR(__xludf.DUMMYFUNCTION("IMPORTRANGE(""https://docs.google.com/spreadsheets/d/1awYsYK3VOup2i3Pq_Yjnu8DRu_mYwSBnCR2QPthd0rU/edit?usp=sharing"",""ศูนย์รวม!E18"")"),0)</f>
        <v>0</v>
      </c>
      <c r="K346" s="47">
        <f ca="1">IF(I346&gt;0,J346*100/I346,0)</f>
        <v>0</v>
      </c>
      <c r="L346" s="46"/>
      <c r="M346" s="46"/>
      <c r="N346" s="46"/>
      <c r="O346" s="46"/>
      <c r="P346" s="46"/>
    </row>
    <row r="347" spans="1:16" ht="18.75" x14ac:dyDescent="0.25">
      <c r="A347" s="227"/>
      <c r="B347" s="41"/>
      <c r="C347" s="228"/>
      <c r="D347" s="155"/>
      <c r="E347" s="155"/>
      <c r="F347" s="159" t="s">
        <v>136</v>
      </c>
      <c r="G347" s="43"/>
      <c r="H347" s="347" t="s">
        <v>33</v>
      </c>
      <c r="I347" s="45"/>
      <c r="J347" s="169">
        <f ca="1">IFERROR(__xludf.DUMMYFUNCTION("IMPORTRANGE(""https://docs.google.com/spreadsheets/d/1awYsYK3VOup2i3Pq_Yjnu8DRu_mYwSBnCR2QPthd0rU/edit?usp=sharing"",""ศูนย์ยกเว้นโฉนด!F18"")"),0)</f>
        <v>0</v>
      </c>
      <c r="K347" s="46"/>
      <c r="L347" s="46"/>
      <c r="M347" s="46"/>
      <c r="N347" s="46"/>
      <c r="O347" s="46"/>
      <c r="P347" s="46"/>
    </row>
    <row r="348" spans="1:16" ht="18.75" x14ac:dyDescent="0.25">
      <c r="A348" s="227"/>
      <c r="B348" s="41"/>
      <c r="C348" s="228"/>
      <c r="D348" s="155"/>
      <c r="E348" s="159" t="s">
        <v>137</v>
      </c>
      <c r="F348" s="155"/>
      <c r="G348" s="43"/>
      <c r="H348" s="347" t="s">
        <v>33</v>
      </c>
      <c r="I348" s="45"/>
      <c r="J348" s="169">
        <f ca="1">IFERROR(__xludf.DUMMYFUNCTION("IMPORTRANGE(""https://docs.google.com/spreadsheets/d/1awYsYK3VOup2i3Pq_Yjnu8DRu_mYwSBnCR2QPthd0rU/edit?usp=sharing"",""ศูนย์ยกเว้นโฉนด!G18"")"),1)</f>
        <v>1</v>
      </c>
      <c r="K348" s="46"/>
      <c r="L348" s="46"/>
      <c r="M348" s="46"/>
      <c r="N348" s="46"/>
      <c r="O348" s="46"/>
      <c r="P348" s="46"/>
    </row>
    <row r="349" spans="1:16" ht="18.75" x14ac:dyDescent="0.25">
      <c r="A349" s="227"/>
      <c r="B349" s="41"/>
      <c r="C349" s="228"/>
      <c r="D349" s="149"/>
      <c r="E349" s="159" t="s">
        <v>138</v>
      </c>
      <c r="F349" s="155"/>
      <c r="G349" s="43"/>
      <c r="H349" s="347" t="s">
        <v>33</v>
      </c>
      <c r="I349" s="45"/>
      <c r="J349" s="169">
        <f ca="1">IFERROR(__xludf.DUMMYFUNCTION("IMPORTRANGE(""https://docs.google.com/spreadsheets/d/1awYsYK3VOup2i3Pq_Yjnu8DRu_mYwSBnCR2QPthd0rU/edit?usp=sharing"",""ศูนย์ยกเว้นโฉนด!H18"")"),0)</f>
        <v>0</v>
      </c>
      <c r="K349" s="46"/>
      <c r="L349" s="46"/>
      <c r="M349" s="46"/>
      <c r="N349" s="46"/>
      <c r="O349" s="46"/>
      <c r="P349" s="46"/>
    </row>
    <row r="350" spans="1:16" ht="16.5" x14ac:dyDescent="0.25">
      <c r="A350" s="228"/>
      <c r="B350" s="41"/>
      <c r="C350" s="228"/>
      <c r="D350" s="34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1"/>
      <c r="F350" s="41"/>
      <c r="G350" s="43"/>
      <c r="H350" s="346"/>
      <c r="I350" s="45"/>
      <c r="J350" s="45"/>
      <c r="K350" s="46"/>
      <c r="L350" s="46"/>
      <c r="M350" s="46"/>
      <c r="N350" s="46"/>
      <c r="O350" s="46"/>
      <c r="P350" s="46"/>
    </row>
    <row r="351" spans="1:16" ht="19.5" x14ac:dyDescent="0.3">
      <c r="A351" s="233"/>
      <c r="B351" s="236"/>
      <c r="C351" s="234"/>
      <c r="D351" s="236"/>
      <c r="E351" s="396" t="s">
        <v>139</v>
      </c>
      <c r="F351" s="236"/>
      <c r="G351" s="237"/>
      <c r="H351" s="238" t="s">
        <v>33</v>
      </c>
      <c r="I351" s="239">
        <v>0</v>
      </c>
      <c r="J351" s="239">
        <f ca="1">J352+J353</f>
        <v>649</v>
      </c>
      <c r="K351" s="240">
        <v>0</v>
      </c>
      <c r="L351" s="241"/>
      <c r="M351" s="241"/>
      <c r="N351" s="241"/>
      <c r="O351" s="241"/>
      <c r="P351" s="241"/>
    </row>
    <row r="352" spans="1:16" ht="18.75" x14ac:dyDescent="0.25">
      <c r="A352" s="228"/>
      <c r="B352" s="41"/>
      <c r="C352" s="228"/>
      <c r="D352" s="155"/>
      <c r="E352" s="159" t="s">
        <v>140</v>
      </c>
      <c r="F352" s="41"/>
      <c r="G352" s="43"/>
      <c r="H352" s="142" t="s">
        <v>33</v>
      </c>
      <c r="I352" s="45"/>
      <c r="J352" s="169">
        <f ca="1">IFERROR(__xludf.DUMMYFUNCTION("IMPORTRANGE(""https://docs.google.com/spreadsheets/d/1awYsYK3VOup2i3Pq_Yjnu8DRu_mYwSBnCR2QPthd0rU/edit?usp=sharing"",""โฉนดM3!G18"")"),287)</f>
        <v>287</v>
      </c>
      <c r="K352" s="46"/>
      <c r="L352" s="46"/>
      <c r="M352" s="46"/>
      <c r="N352" s="46"/>
      <c r="O352" s="46"/>
      <c r="P352" s="46"/>
    </row>
    <row r="353" spans="1:16" ht="18.75" x14ac:dyDescent="0.25">
      <c r="A353" s="228"/>
      <c r="B353" s="41"/>
      <c r="C353" s="228"/>
      <c r="D353" s="155"/>
      <c r="E353" s="159" t="s">
        <v>141</v>
      </c>
      <c r="F353" s="41"/>
      <c r="G353" s="43"/>
      <c r="H353" s="142" t="s">
        <v>33</v>
      </c>
      <c r="I353" s="45"/>
      <c r="J353" s="169">
        <f ca="1">IFERROR(__xludf.DUMMYFUNCTION("IMPORTRANGE(""https://docs.google.com/spreadsheets/d/1awYsYK3VOup2i3Pq_Yjnu8DRu_mYwSBnCR2QPthd0rU/edit?usp=sharing"",""โฉนดM3!H18"")"),362)</f>
        <v>362</v>
      </c>
      <c r="K353" s="46"/>
      <c r="L353" s="46"/>
      <c r="M353" s="46"/>
      <c r="N353" s="46"/>
      <c r="O353" s="46"/>
      <c r="P353" s="46"/>
    </row>
    <row r="354" spans="1:16" ht="16.5" x14ac:dyDescent="0.25">
      <c r="A354" s="228"/>
      <c r="B354" s="41"/>
      <c r="C354" s="228"/>
      <c r="D354" s="34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1"/>
      <c r="F354" s="41"/>
      <c r="G354" s="43"/>
      <c r="H354" s="346"/>
      <c r="I354" s="45"/>
      <c r="J354" s="45"/>
      <c r="K354" s="46"/>
      <c r="L354" s="46"/>
      <c r="M354" s="46"/>
      <c r="N354" s="46"/>
      <c r="O354" s="46"/>
      <c r="P354" s="46"/>
    </row>
    <row r="355" spans="1:16" ht="19.5" x14ac:dyDescent="0.3">
      <c r="A355" s="323"/>
      <c r="B355" s="324" t="s">
        <v>142</v>
      </c>
      <c r="C355" s="333"/>
      <c r="D355" s="325"/>
      <c r="E355" s="325"/>
      <c r="F355" s="325"/>
      <c r="G355" s="326"/>
      <c r="H355" s="326"/>
      <c r="I355" s="350"/>
      <c r="J355" s="350"/>
      <c r="K355" s="330"/>
      <c r="L355" s="330"/>
      <c r="M355" s="330"/>
      <c r="N355" s="330"/>
      <c r="O355" s="330"/>
      <c r="P355" s="330"/>
    </row>
    <row r="356" spans="1:16" ht="19.5" x14ac:dyDescent="0.3">
      <c r="A356" s="136"/>
      <c r="B356" s="41"/>
      <c r="C356" s="197" t="s">
        <v>16</v>
      </c>
      <c r="D356" s="397" t="s">
        <v>17</v>
      </c>
      <c r="E356" s="41"/>
      <c r="F356" s="41"/>
      <c r="G356" s="43"/>
      <c r="H356" s="139" t="s">
        <v>12</v>
      </c>
      <c r="I356" s="45"/>
      <c r="J356" s="45"/>
      <c r="K356" s="46"/>
      <c r="L356" s="140">
        <f ca="1">L357+L358</f>
        <v>536435</v>
      </c>
      <c r="M356" s="140">
        <f ca="1">M357+M358</f>
        <v>441755</v>
      </c>
      <c r="N356" s="140">
        <f ca="1">N357+N358</f>
        <v>108198</v>
      </c>
      <c r="O356" s="140">
        <f ca="1">IF(L356&gt;0,N356*100/L356,0)</f>
        <v>20.169824862285271</v>
      </c>
      <c r="P356" s="140">
        <f ca="1">IF(M356&gt;0,N356*100/M356,0)</f>
        <v>24.49276182499349</v>
      </c>
    </row>
    <row r="357" spans="1:16" ht="18.75" hidden="1" x14ac:dyDescent="0.25">
      <c r="A357" s="136"/>
      <c r="B357" s="41"/>
      <c r="C357" s="41"/>
      <c r="D357" s="41"/>
      <c r="E357" s="279" t="s">
        <v>18</v>
      </c>
      <c r="F357" s="41"/>
      <c r="G357" s="43"/>
      <c r="H357" s="141" t="s">
        <v>12</v>
      </c>
      <c r="I357" s="45"/>
      <c r="J357" s="45"/>
      <c r="K357" s="46"/>
      <c r="L357" s="50">
        <f>L360+L363</f>
        <v>0</v>
      </c>
      <c r="M357" s="50">
        <f>M360+M363</f>
        <v>0</v>
      </c>
      <c r="N357" s="50">
        <f>N360+N363</f>
        <v>0</v>
      </c>
      <c r="O357" s="50">
        <f>IF(L357&gt;0,N357*100/L357,0)</f>
        <v>0</v>
      </c>
      <c r="P357" s="50">
        <f>IF(M357&gt;0,N357*100/M357,0)</f>
        <v>0</v>
      </c>
    </row>
    <row r="358" spans="1:16" ht="18.75" x14ac:dyDescent="0.25">
      <c r="A358" s="136"/>
      <c r="B358" s="41"/>
      <c r="C358" s="41"/>
      <c r="D358" s="41"/>
      <c r="E358" s="254" t="s">
        <v>19</v>
      </c>
      <c r="F358" s="41"/>
      <c r="G358" s="43"/>
      <c r="H358" s="142" t="s">
        <v>12</v>
      </c>
      <c r="I358" s="45"/>
      <c r="J358" s="45"/>
      <c r="K358" s="46"/>
      <c r="L358" s="47">
        <f ca="1">L361+L364</f>
        <v>536435</v>
      </c>
      <c r="M358" s="47">
        <f ca="1">M361+M364</f>
        <v>441755</v>
      </c>
      <c r="N358" s="47">
        <f ca="1">N361+N364</f>
        <v>108198</v>
      </c>
      <c r="O358" s="47">
        <f ca="1">IF(L358&gt;0,N358*100/L358,0)</f>
        <v>20.169824862285271</v>
      </c>
      <c r="P358" s="47">
        <f ca="1">IF(M358&gt;0,N358*100/M358,0)</f>
        <v>24.49276182499349</v>
      </c>
    </row>
    <row r="359" spans="1:16" ht="18.75" x14ac:dyDescent="0.25">
      <c r="A359" s="136"/>
      <c r="B359" s="41"/>
      <c r="C359" s="41"/>
      <c r="D359" s="42" t="s">
        <v>20</v>
      </c>
      <c r="E359" s="41"/>
      <c r="F359" s="41"/>
      <c r="G359" s="43"/>
      <c r="H359" s="143" t="s">
        <v>12</v>
      </c>
      <c r="I359" s="144"/>
      <c r="J359" s="144"/>
      <c r="K359" s="145"/>
      <c r="L359" s="47">
        <f ca="1">L360+L361</f>
        <v>536435</v>
      </c>
      <c r="M359" s="47">
        <f ca="1">M360+M361</f>
        <v>441755</v>
      </c>
      <c r="N359" s="47">
        <f ca="1">N360+N361</f>
        <v>108198</v>
      </c>
      <c r="O359" s="47">
        <f ca="1">IF(L359&gt;0,N359*100/L359,0)</f>
        <v>20.169824862285271</v>
      </c>
      <c r="P359" s="47">
        <f ca="1">IF(M359&gt;0,N359*100/M359,0)</f>
        <v>24.49276182499349</v>
      </c>
    </row>
    <row r="360" spans="1:16" ht="18.75" hidden="1" x14ac:dyDescent="0.25">
      <c r="A360" s="136"/>
      <c r="B360" s="41"/>
      <c r="C360" s="41"/>
      <c r="D360" s="41"/>
      <c r="E360" s="279" t="s">
        <v>34</v>
      </c>
      <c r="F360" s="41"/>
      <c r="G360" s="43"/>
      <c r="H360" s="146" t="s">
        <v>12</v>
      </c>
      <c r="I360" s="144"/>
      <c r="J360" s="144"/>
      <c r="K360" s="145"/>
      <c r="L360" s="50">
        <v>0</v>
      </c>
      <c r="M360" s="50">
        <v>0</v>
      </c>
      <c r="N360" s="50">
        <v>0</v>
      </c>
      <c r="O360" s="50">
        <f>IF(L360&gt;0,N360*100/L360,0)</f>
        <v>0</v>
      </c>
      <c r="P360" s="50">
        <f>IF(M360&gt;0,N360*100/M360,0)</f>
        <v>0</v>
      </c>
    </row>
    <row r="361" spans="1:16" ht="18.75" x14ac:dyDescent="0.25">
      <c r="A361" s="136"/>
      <c r="B361" s="41"/>
      <c r="C361" s="41"/>
      <c r="D361" s="41"/>
      <c r="E361" s="254" t="s">
        <v>35</v>
      </c>
      <c r="F361" s="41"/>
      <c r="G361" s="43"/>
      <c r="H361" s="143" t="s">
        <v>12</v>
      </c>
      <c r="I361" s="144"/>
      <c r="J361" s="144"/>
      <c r="K361" s="145"/>
      <c r="L361" s="47">
        <f ca="1">IFERROR(__xludf.DUMMYFUNCTION("IMPORTRANGE(""https://docs.google.com/spreadsheets/d/1-uDff_7J0KD5mKrp0Vvzr7lt3OU09vwQwhkpOPPYv2Y/edit?usp=sharing"",""งบพรบ!FC18"")"),536435)</f>
        <v>536435</v>
      </c>
      <c r="M361" s="47">
        <f ca="1">IFERROR(__xludf.DUMMYFUNCTION("IMPORTRANGE(""https://docs.google.com/spreadsheets/d/1-uDff_7J0KD5mKrp0Vvzr7lt3OU09vwQwhkpOPPYv2Y/edit?usp=sharing"",""งบพรบ!FH18"")"),441755)</f>
        <v>441755</v>
      </c>
      <c r="N361" s="47">
        <f ca="1">IFERROR(__xludf.DUMMYFUNCTION("IMPORTRANGE(""https://docs.google.com/spreadsheets/d/1-uDff_7J0KD5mKrp0Vvzr7lt3OU09vwQwhkpOPPYv2Y/edit?usp=sharing"",""งบพรบ!FJ18"")"),108198)</f>
        <v>108198</v>
      </c>
      <c r="O361" s="47">
        <f ca="1">IF(L361&gt;0,N361*100/L361,0)</f>
        <v>20.169824862285271</v>
      </c>
      <c r="P361" s="47">
        <f ca="1">IF(M361&gt;0,N361*100/M361,0)</f>
        <v>24.49276182499349</v>
      </c>
    </row>
    <row r="362" spans="1:16" ht="18.75" x14ac:dyDescent="0.25">
      <c r="A362" s="136"/>
      <c r="B362" s="41"/>
      <c r="C362" s="41"/>
      <c r="D362" s="42" t="s">
        <v>21</v>
      </c>
      <c r="E362" s="41"/>
      <c r="F362" s="41"/>
      <c r="G362" s="43"/>
      <c r="H362" s="147" t="s">
        <v>12</v>
      </c>
      <c r="I362" s="144"/>
      <c r="J362" s="144"/>
      <c r="K362" s="145"/>
      <c r="L362" s="47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</row>
    <row r="363" spans="1:16" ht="18.75" hidden="1" x14ac:dyDescent="0.25">
      <c r="A363" s="136"/>
      <c r="B363" s="41"/>
      <c r="C363" s="41"/>
      <c r="D363" s="41"/>
      <c r="E363" s="279" t="s">
        <v>18</v>
      </c>
      <c r="F363" s="41"/>
      <c r="G363" s="43"/>
      <c r="H363" s="146" t="s">
        <v>12</v>
      </c>
      <c r="I363" s="144"/>
      <c r="J363" s="144"/>
      <c r="K363" s="145"/>
      <c r="L363" s="50">
        <v>0</v>
      </c>
      <c r="M363" s="50">
        <v>0</v>
      </c>
      <c r="N363" s="50">
        <v>0</v>
      </c>
      <c r="O363" s="50">
        <f>IF(L363&gt;0,N363*100/L363,0)</f>
        <v>0</v>
      </c>
      <c r="P363" s="50">
        <f>IF(M363&gt;0,N363*100/M363,0)</f>
        <v>0</v>
      </c>
    </row>
    <row r="364" spans="1:16" ht="18.75" x14ac:dyDescent="0.25">
      <c r="A364" s="136"/>
      <c r="B364" s="41"/>
      <c r="C364" s="41"/>
      <c r="D364" s="41"/>
      <c r="E364" s="254" t="s">
        <v>19</v>
      </c>
      <c r="F364" s="41"/>
      <c r="G364" s="43"/>
      <c r="H364" s="147" t="s">
        <v>12</v>
      </c>
      <c r="I364" s="144"/>
      <c r="J364" s="144"/>
      <c r="K364" s="145"/>
      <c r="L364" s="47">
        <f ca="1">IFERROR(__xludf.DUMMYFUNCTION("IMPORTRANGE(""https://docs.google.com/spreadsheets/d/1-uDff_7J0KD5mKrp0Vvzr7lt3OU09vwQwhkpOPPYv2Y/edit?usp=sharing"",""งบพรบ!FF18"")"),0)</f>
        <v>0</v>
      </c>
      <c r="M364" s="47">
        <f ca="1">IFERROR(__xludf.DUMMYFUNCTION("IMPORTRANGE(""https://docs.google.com/spreadsheets/d/1-uDff_7J0KD5mKrp0Vvzr7lt3OU09vwQwhkpOPPYv2Y/edit?usp=sharing"",""งบพรบ!FI18"")"),0)</f>
        <v>0</v>
      </c>
      <c r="N364" s="47">
        <f ca="1">IFERROR(__xludf.DUMMYFUNCTION("IMPORTRANGE(""https://docs.google.com/spreadsheets/d/1-uDff_7J0KD5mKrp0Vvzr7lt3OU09vwQwhkpOPPYv2Y/edit?usp=sharing"",""งบพรบ!FK18"")"),0)</f>
        <v>0</v>
      </c>
      <c r="O364" s="47">
        <f ca="1">IF(L364&gt;0,N364*100/L364,0)</f>
        <v>0</v>
      </c>
      <c r="P364" s="47">
        <f ca="1">IF(M364&gt;0,N364*100/M364,0)</f>
        <v>0</v>
      </c>
    </row>
    <row r="365" spans="1:16" ht="19.5" x14ac:dyDescent="0.3">
      <c r="A365" s="233"/>
      <c r="B365" s="234"/>
      <c r="C365" s="236"/>
      <c r="D365" s="396" t="s">
        <v>143</v>
      </c>
      <c r="E365" s="236"/>
      <c r="F365" s="236"/>
      <c r="G365" s="237"/>
      <c r="H365" s="245" t="s">
        <v>33</v>
      </c>
      <c r="I365" s="239">
        <f ca="1">I371</f>
        <v>128</v>
      </c>
      <c r="J365" s="239">
        <f ca="1">J371</f>
        <v>5</v>
      </c>
      <c r="K365" s="240">
        <f ca="1">IF(I365&gt;0,J365*100/I365,0)</f>
        <v>3.90625</v>
      </c>
      <c r="L365" s="241"/>
      <c r="M365" s="241"/>
      <c r="N365" s="241"/>
      <c r="O365" s="241"/>
      <c r="P365" s="241"/>
    </row>
    <row r="366" spans="1:16" ht="19.5" x14ac:dyDescent="0.3">
      <c r="A366" s="148"/>
      <c r="B366" s="149"/>
      <c r="C366" s="197" t="s">
        <v>16</v>
      </c>
      <c r="D366" s="395" t="s">
        <v>36</v>
      </c>
      <c r="E366" s="151"/>
      <c r="F366" s="151"/>
      <c r="G366" s="152"/>
      <c r="H366" s="153"/>
      <c r="I366" s="45"/>
      <c r="J366" s="45"/>
      <c r="K366" s="46"/>
      <c r="L366" s="145"/>
      <c r="M366" s="145"/>
      <c r="N366" s="145"/>
      <c r="O366" s="145"/>
      <c r="P366" s="145"/>
    </row>
    <row r="367" spans="1:16" ht="18.75" x14ac:dyDescent="0.25">
      <c r="A367" s="148"/>
      <c r="B367" s="155"/>
      <c r="C367" s="149"/>
      <c r="D367" s="155"/>
      <c r="E367" s="154" t="s">
        <v>144</v>
      </c>
      <c r="F367" s="155"/>
      <c r="G367" s="153"/>
      <c r="H367" s="164" t="s">
        <v>33</v>
      </c>
      <c r="I367" s="169">
        <v>0</v>
      </c>
      <c r="J367" s="169">
        <f ca="1">IFERROR(__xludf.DUMMYFUNCTION("IMPORTRANGE(""https://docs.google.com/spreadsheets/d/1tdoBKaGub7dwA3U6UFTqxio9LNnvDCQjHKmttSEBsFQ/edit?usp=sharing"",""จัดที่ดิน!AB18"")"),26)</f>
        <v>26</v>
      </c>
      <c r="K367" s="47">
        <f>IF(I367&gt;0,J367*100/I367,0)</f>
        <v>0</v>
      </c>
      <c r="L367" s="145"/>
      <c r="M367" s="145"/>
      <c r="N367" s="145"/>
      <c r="O367" s="145"/>
      <c r="P367" s="145"/>
    </row>
    <row r="368" spans="1:16" ht="18.75" x14ac:dyDescent="0.25">
      <c r="A368" s="148"/>
      <c r="B368" s="155"/>
      <c r="C368" s="149"/>
      <c r="D368" s="155"/>
      <c r="E368" s="155"/>
      <c r="F368" s="155"/>
      <c r="G368" s="153"/>
      <c r="H368" s="164" t="s">
        <v>44</v>
      </c>
      <c r="I368" s="169">
        <f ca="1">IFERROR(__xludf.DUMMYFUNCTION("IMPORTRANGE(""https://docs.google.com/spreadsheets/d/1eHaY18a8A9IcSdp1K8H6x8fbOy06t2VsZHhMHf-1x7Y/edit?usp=sharing"",""แผน!EW18"")"),1490)</f>
        <v>1490</v>
      </c>
      <c r="J368" s="351">
        <f ca="1">IFERROR(__xludf.DUMMYFUNCTION("IMPORTRANGE(""https://docs.google.com/spreadsheets/d/1tdoBKaGub7dwA3U6UFTqxio9LNnvDCQjHKmttSEBsFQ/edit?usp=sharing"",""จัดที่ดิน!AC18"")"),342.45)</f>
        <v>342.45</v>
      </c>
      <c r="K368" s="47">
        <f ca="1">IF(I368&gt;0,J368*100/I368,0)</f>
        <v>22.983221476510067</v>
      </c>
      <c r="L368" s="145"/>
      <c r="M368" s="145"/>
      <c r="N368" s="145"/>
      <c r="O368" s="145"/>
      <c r="P368" s="145"/>
    </row>
    <row r="369" spans="1:16" ht="18.75" x14ac:dyDescent="0.25">
      <c r="A369" s="148"/>
      <c r="B369" s="155"/>
      <c r="C369" s="149"/>
      <c r="D369" s="155"/>
      <c r="E369" s="154" t="s">
        <v>145</v>
      </c>
      <c r="F369" s="155"/>
      <c r="G369" s="153"/>
      <c r="H369" s="251" t="s">
        <v>33</v>
      </c>
      <c r="I369" s="169">
        <f ca="1">IFERROR(__xludf.DUMMYFUNCTION("IMPORTRANGE(""https://docs.google.com/spreadsheets/d/1eHaY18a8A9IcSdp1K8H6x8fbOy06t2VsZHhMHf-1x7Y/edit?usp=sharing"",""แผน!EX18"")"),198)</f>
        <v>198</v>
      </c>
      <c r="J369" s="169">
        <f ca="1">IFERROR(__xludf.DUMMYFUNCTION("IMPORTRANGE(""https://docs.google.com/spreadsheets/d/1tdoBKaGub7dwA3U6UFTqxio9LNnvDCQjHKmttSEBsFQ/edit?usp=sharing"",""จัดที่ดิน!AD18"")"),31)</f>
        <v>31</v>
      </c>
      <c r="K369" s="47">
        <f ca="1">IF(I369&gt;0,J369*100/I369,0)</f>
        <v>15.656565656565656</v>
      </c>
      <c r="L369" s="145"/>
      <c r="M369" s="145"/>
      <c r="N369" s="145"/>
      <c r="O369" s="145"/>
      <c r="P369" s="145"/>
    </row>
    <row r="370" spans="1:16" ht="18.75" x14ac:dyDescent="0.25">
      <c r="A370" s="148"/>
      <c r="B370" s="155"/>
      <c r="C370" s="149"/>
      <c r="D370" s="155"/>
      <c r="E370" s="155"/>
      <c r="F370" s="155"/>
      <c r="G370" s="153"/>
      <c r="H370" s="251" t="s">
        <v>44</v>
      </c>
      <c r="I370" s="169">
        <v>0</v>
      </c>
      <c r="J370" s="351">
        <f ca="1">IFERROR(__xludf.DUMMYFUNCTION("IMPORTRANGE(""https://docs.google.com/spreadsheets/d/1tdoBKaGub7dwA3U6UFTqxio9LNnvDCQjHKmttSEBsFQ/edit?usp=sharing"",""จัดที่ดิน!AE18"")"),455.54)</f>
        <v>455.54</v>
      </c>
      <c r="K370" s="47">
        <f>IF(I370&gt;0,J370*100/I370,0)</f>
        <v>0</v>
      </c>
      <c r="L370" s="145"/>
      <c r="M370" s="145"/>
      <c r="N370" s="145"/>
      <c r="O370" s="145"/>
      <c r="P370" s="145"/>
    </row>
    <row r="371" spans="1:16" ht="18.75" x14ac:dyDescent="0.25">
      <c r="A371" s="148"/>
      <c r="B371" s="155"/>
      <c r="C371" s="149"/>
      <c r="D371" s="155"/>
      <c r="E371" s="154" t="s">
        <v>146</v>
      </c>
      <c r="F371" s="155"/>
      <c r="G371" s="153"/>
      <c r="H371" s="251" t="s">
        <v>33</v>
      </c>
      <c r="I371" s="169">
        <f ca="1">IFERROR(__xludf.DUMMYFUNCTION("IMPORTRANGE(""https://docs.google.com/spreadsheets/d/1eHaY18a8A9IcSdp1K8H6x8fbOy06t2VsZHhMHf-1x7Y/edit?usp=sharing"",""แผน!EY18"")"),128)</f>
        <v>128</v>
      </c>
      <c r="J371" s="169">
        <f ca="1">IFERROR(__xludf.DUMMYFUNCTION("IMPORTRANGE(""https://docs.google.com/spreadsheets/d/1tdoBKaGub7dwA3U6UFTqxio9LNnvDCQjHKmttSEBsFQ/edit?usp=sharing"",""จัดที่ดิน!AF18"")"),5)</f>
        <v>5</v>
      </c>
      <c r="K371" s="47">
        <f ca="1">IF(I371&gt;0,J371*100/I371,0)</f>
        <v>3.90625</v>
      </c>
      <c r="L371" s="145"/>
      <c r="M371" s="145"/>
      <c r="N371" s="145"/>
      <c r="O371" s="145"/>
      <c r="P371" s="145"/>
    </row>
    <row r="372" spans="1:16" ht="18.75" x14ac:dyDescent="0.25">
      <c r="A372" s="148"/>
      <c r="B372" s="155"/>
      <c r="C372" s="149"/>
      <c r="D372" s="155"/>
      <c r="E372" s="155"/>
      <c r="F372" s="155"/>
      <c r="G372" s="153"/>
      <c r="H372" s="251" t="s">
        <v>44</v>
      </c>
      <c r="I372" s="169">
        <v>0</v>
      </c>
      <c r="J372" s="351">
        <f ca="1">IFERROR(__xludf.DUMMYFUNCTION("IMPORTRANGE(""https://docs.google.com/spreadsheets/d/1tdoBKaGub7dwA3U6UFTqxio9LNnvDCQjHKmttSEBsFQ/edit?usp=sharing"",""จัดที่ดิน!AG18"")"),113.08)</f>
        <v>113.08</v>
      </c>
      <c r="K372" s="47">
        <f>IF(I372&gt;0,J372*100/I372,0)</f>
        <v>0</v>
      </c>
      <c r="L372" s="145"/>
      <c r="M372" s="145"/>
      <c r="N372" s="145"/>
      <c r="O372" s="145"/>
      <c r="P372" s="145"/>
    </row>
    <row r="373" spans="1:16" ht="16.5" x14ac:dyDescent="0.25">
      <c r="A373" s="2"/>
      <c r="B373" s="1"/>
      <c r="C373" s="2"/>
      <c r="D373" s="352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4"/>
      <c r="H373" s="54"/>
      <c r="I373" s="56"/>
      <c r="J373" s="56"/>
      <c r="K373" s="57"/>
      <c r="L373" s="57"/>
      <c r="M373" s="57"/>
      <c r="N373" s="57"/>
      <c r="O373" s="57"/>
      <c r="P373" s="57"/>
    </row>
    <row r="374" spans="1:16" ht="19.5" hidden="1" x14ac:dyDescent="0.3">
      <c r="A374" s="353" t="s">
        <v>147</v>
      </c>
      <c r="B374" s="354"/>
      <c r="C374" s="354"/>
      <c r="D374" s="354"/>
      <c r="E374" s="355"/>
      <c r="F374" s="355"/>
      <c r="G374" s="355"/>
      <c r="H374" s="355"/>
      <c r="I374" s="356"/>
      <c r="J374" s="356"/>
      <c r="K374" s="357"/>
      <c r="L374" s="357"/>
      <c r="M374" s="357"/>
      <c r="N374" s="357"/>
      <c r="O374" s="357"/>
      <c r="P374" s="358"/>
    </row>
    <row r="375" spans="1:16" ht="19.5" hidden="1" x14ac:dyDescent="0.3">
      <c r="A375" s="359" t="s">
        <v>148</v>
      </c>
      <c r="B375" s="360"/>
      <c r="C375" s="360"/>
      <c r="D375" s="361"/>
      <c r="E375" s="360"/>
      <c r="F375" s="360"/>
      <c r="G375" s="360"/>
      <c r="H375" s="362"/>
      <c r="I375" s="363"/>
      <c r="J375" s="363"/>
      <c r="K375" s="364"/>
      <c r="L375" s="364"/>
      <c r="M375" s="364"/>
      <c r="N375" s="364"/>
      <c r="O375" s="364"/>
      <c r="P375" s="364"/>
    </row>
    <row r="376" spans="1:16" ht="19.5" hidden="1" x14ac:dyDescent="0.3">
      <c r="A376" s="365"/>
      <c r="B376" s="366" t="s">
        <v>149</v>
      </c>
      <c r="C376" s="367"/>
      <c r="D376" s="368"/>
      <c r="E376" s="368"/>
      <c r="F376" s="368"/>
      <c r="G376" s="369"/>
      <c r="H376" s="370" t="s">
        <v>54</v>
      </c>
      <c r="I376" s="371">
        <f>I388</f>
        <v>0</v>
      </c>
      <c r="J376" s="371">
        <f>J388</f>
        <v>0</v>
      </c>
      <c r="K376" s="372">
        <f>IF(I376&gt;0,J376*100/I376,0)</f>
        <v>0</v>
      </c>
      <c r="L376" s="373"/>
      <c r="M376" s="373"/>
      <c r="N376" s="373"/>
      <c r="O376" s="373"/>
      <c r="P376" s="373"/>
    </row>
    <row r="377" spans="1:16" ht="19.5" hidden="1" x14ac:dyDescent="0.3">
      <c r="A377" s="136"/>
      <c r="B377" s="41"/>
      <c r="C377" s="260" t="s">
        <v>16</v>
      </c>
      <c r="D377" s="261" t="s">
        <v>17</v>
      </c>
      <c r="E377" s="41"/>
      <c r="F377" s="41"/>
      <c r="G377" s="43"/>
      <c r="H377" s="277" t="s">
        <v>12</v>
      </c>
      <c r="I377" s="45"/>
      <c r="J377" s="45"/>
      <c r="K377" s="46"/>
      <c r="L377" s="263">
        <f ca="1">L378+L379</f>
        <v>0</v>
      </c>
      <c r="M377" s="263">
        <f ca="1">M378+M379</f>
        <v>0</v>
      </c>
      <c r="N377" s="263">
        <f ca="1">N378+N379</f>
        <v>0</v>
      </c>
      <c r="O377" s="263">
        <f ca="1">IF(L377&gt;0,N377*100/L377,0)</f>
        <v>0</v>
      </c>
      <c r="P377" s="263">
        <f ca="1">IF(M377&gt;0,N377*100/M377,0)</f>
        <v>0</v>
      </c>
    </row>
    <row r="378" spans="1:16" ht="18.75" hidden="1" x14ac:dyDescent="0.25">
      <c r="A378" s="136"/>
      <c r="B378" s="41"/>
      <c r="C378" s="41"/>
      <c r="D378" s="41"/>
      <c r="E378" s="279" t="s">
        <v>18</v>
      </c>
      <c r="F378" s="41"/>
      <c r="G378" s="43"/>
      <c r="H378" s="141" t="s">
        <v>12</v>
      </c>
      <c r="I378" s="45"/>
      <c r="J378" s="45"/>
      <c r="K378" s="46"/>
      <c r="L378" s="50">
        <f>L381+L384</f>
        <v>0</v>
      </c>
      <c r="M378" s="50">
        <f>M381+M384</f>
        <v>0</v>
      </c>
      <c r="N378" s="50">
        <f>N381+N384</f>
        <v>0</v>
      </c>
      <c r="O378" s="50">
        <f>IF(L378&gt;0,N378*100/L378,0)</f>
        <v>0</v>
      </c>
      <c r="P378" s="50">
        <f>IF(M378&gt;0,N378*100/M378,0)</f>
        <v>0</v>
      </c>
    </row>
    <row r="379" spans="1:16" ht="18.75" hidden="1" x14ac:dyDescent="0.25">
      <c r="A379" s="136"/>
      <c r="B379" s="41"/>
      <c r="C379" s="41"/>
      <c r="D379" s="41"/>
      <c r="E379" s="279" t="s">
        <v>19</v>
      </c>
      <c r="F379" s="41"/>
      <c r="G379" s="43"/>
      <c r="H379" s="141" t="s">
        <v>12</v>
      </c>
      <c r="I379" s="45"/>
      <c r="J379" s="45"/>
      <c r="K379" s="46"/>
      <c r="L379" s="50">
        <f ca="1">L382+L385</f>
        <v>0</v>
      </c>
      <c r="M379" s="50">
        <f ca="1">M382+M385</f>
        <v>0</v>
      </c>
      <c r="N379" s="50">
        <f ca="1">N382+N385</f>
        <v>0</v>
      </c>
      <c r="O379" s="50">
        <f ca="1">IF(L379&gt;0,N379*100/L379,0)</f>
        <v>0</v>
      </c>
      <c r="P379" s="50">
        <f ca="1">IF(M379&gt;0,N379*100/M379,0)</f>
        <v>0</v>
      </c>
    </row>
    <row r="380" spans="1:16" ht="18.75" hidden="1" x14ac:dyDescent="0.25">
      <c r="A380" s="136"/>
      <c r="B380" s="41"/>
      <c r="C380" s="41"/>
      <c r="D380" s="278" t="s">
        <v>20</v>
      </c>
      <c r="E380" s="41"/>
      <c r="F380" s="41"/>
      <c r="G380" s="43"/>
      <c r="H380" s="146" t="s">
        <v>12</v>
      </c>
      <c r="I380" s="144"/>
      <c r="J380" s="144"/>
      <c r="K380" s="145"/>
      <c r="L380" s="50">
        <f ca="1">L381+L382</f>
        <v>0</v>
      </c>
      <c r="M380" s="50">
        <f ca="1">M381+M382</f>
        <v>0</v>
      </c>
      <c r="N380" s="50">
        <f ca="1">N381+N382</f>
        <v>0</v>
      </c>
      <c r="O380" s="50">
        <f ca="1">IF(L380&gt;0,N380*100/L380,0)</f>
        <v>0</v>
      </c>
      <c r="P380" s="50">
        <f ca="1">IF(M380&gt;0,N380*100/M380,0)</f>
        <v>0</v>
      </c>
    </row>
    <row r="381" spans="1:16" ht="18.75" hidden="1" x14ac:dyDescent="0.25">
      <c r="A381" s="136"/>
      <c r="B381" s="41"/>
      <c r="C381" s="41"/>
      <c r="D381" s="41"/>
      <c r="E381" s="279" t="s">
        <v>34</v>
      </c>
      <c r="F381" s="41"/>
      <c r="G381" s="43"/>
      <c r="H381" s="146" t="s">
        <v>12</v>
      </c>
      <c r="I381" s="144"/>
      <c r="J381" s="144"/>
      <c r="K381" s="145"/>
      <c r="L381" s="50">
        <v>0</v>
      </c>
      <c r="M381" s="50">
        <v>0</v>
      </c>
      <c r="N381" s="50">
        <v>0</v>
      </c>
      <c r="O381" s="50">
        <f>IF(L381&gt;0,N381*100/L381,0)</f>
        <v>0</v>
      </c>
      <c r="P381" s="50">
        <f>IF(M381&gt;0,N381*100/M381,0)</f>
        <v>0</v>
      </c>
    </row>
    <row r="382" spans="1:16" ht="18.75" hidden="1" x14ac:dyDescent="0.25">
      <c r="A382" s="136"/>
      <c r="B382" s="41"/>
      <c r="C382" s="41"/>
      <c r="D382" s="41"/>
      <c r="E382" s="279" t="s">
        <v>35</v>
      </c>
      <c r="F382" s="41"/>
      <c r="G382" s="43"/>
      <c r="H382" s="146" t="s">
        <v>12</v>
      </c>
      <c r="I382" s="144"/>
      <c r="J382" s="144"/>
      <c r="K382" s="145"/>
      <c r="L382" s="50">
        <f ca="1">IFERROR(__xludf.DUMMYFUNCTION("IMPORTRANGE(""https://docs.google.com/spreadsheets/d/1-uDff_7J0KD5mKrp0Vvzr7lt3OU09vwQwhkpOPPYv2Y/edit?usp=sharing"",""งบพรบ!FM18"")"),0)</f>
        <v>0</v>
      </c>
      <c r="M382" s="50">
        <f ca="1">IFERROR(__xludf.DUMMYFUNCTION("IMPORTRANGE(""https://docs.google.com/spreadsheets/d/1-uDff_7J0KD5mKrp0Vvzr7lt3OU09vwQwhkpOPPYv2Y/edit?usp=sharing"",""งบพรบ!FR18"")"),0)</f>
        <v>0</v>
      </c>
      <c r="N382" s="50">
        <f ca="1">IFERROR(__xludf.DUMMYFUNCTION("IMPORTRANGE(""https://docs.google.com/spreadsheets/d/1-uDff_7J0KD5mKrp0Vvzr7lt3OU09vwQwhkpOPPYv2Y/edit?usp=sharing"",""งบพรบ!FT18"")"),0)</f>
        <v>0</v>
      </c>
      <c r="O382" s="50">
        <f ca="1">IF(L382&gt;0,N382*100/L382,0)</f>
        <v>0</v>
      </c>
      <c r="P382" s="50">
        <f ca="1">IF(M382&gt;0,N382*100/M382,0)</f>
        <v>0</v>
      </c>
    </row>
    <row r="383" spans="1:16" ht="18.75" hidden="1" x14ac:dyDescent="0.25">
      <c r="A383" s="136"/>
      <c r="B383" s="41"/>
      <c r="C383" s="41"/>
      <c r="D383" s="278" t="s">
        <v>21</v>
      </c>
      <c r="E383" s="41"/>
      <c r="F383" s="41"/>
      <c r="G383" s="43"/>
      <c r="H383" s="199" t="s">
        <v>12</v>
      </c>
      <c r="I383" s="144"/>
      <c r="J383" s="144"/>
      <c r="K383" s="145"/>
      <c r="L383" s="50">
        <f ca="1">L384+L385</f>
        <v>0</v>
      </c>
      <c r="M383" s="50">
        <f ca="1">M384+M385</f>
        <v>0</v>
      </c>
      <c r="N383" s="50">
        <f ca="1">N384+N385</f>
        <v>0</v>
      </c>
      <c r="O383" s="50">
        <f ca="1">IF(L383&gt;0,N383*100/L383,0)</f>
        <v>0</v>
      </c>
      <c r="P383" s="50">
        <f ca="1">IF(M383&gt;0,N383*100/M383,0)</f>
        <v>0</v>
      </c>
    </row>
    <row r="384" spans="1:16" ht="18.75" hidden="1" x14ac:dyDescent="0.25">
      <c r="A384" s="136"/>
      <c r="B384" s="41"/>
      <c r="C384" s="41"/>
      <c r="D384" s="41"/>
      <c r="E384" s="279" t="s">
        <v>18</v>
      </c>
      <c r="F384" s="41"/>
      <c r="G384" s="43"/>
      <c r="H384" s="146" t="s">
        <v>12</v>
      </c>
      <c r="I384" s="144"/>
      <c r="J384" s="144"/>
      <c r="K384" s="145"/>
      <c r="L384" s="50">
        <v>0</v>
      </c>
      <c r="M384" s="50">
        <v>0</v>
      </c>
      <c r="N384" s="50">
        <v>0</v>
      </c>
      <c r="O384" s="50">
        <f>IF(L384&gt;0,N384*100/L384,0)</f>
        <v>0</v>
      </c>
      <c r="P384" s="50">
        <f>IF(M384&gt;0,N384*100/M384,0)</f>
        <v>0</v>
      </c>
    </row>
    <row r="385" spans="1:16" ht="18.75" hidden="1" x14ac:dyDescent="0.25">
      <c r="A385" s="136"/>
      <c r="B385" s="41"/>
      <c r="C385" s="41"/>
      <c r="D385" s="41"/>
      <c r="E385" s="279" t="s">
        <v>19</v>
      </c>
      <c r="F385" s="41"/>
      <c r="G385" s="43"/>
      <c r="H385" s="199" t="s">
        <v>12</v>
      </c>
      <c r="I385" s="144"/>
      <c r="J385" s="144"/>
      <c r="K385" s="145"/>
      <c r="L385" s="50">
        <f ca="1">IFERROR(__xludf.DUMMYFUNCTION("IMPORTRANGE(""https://docs.google.com/spreadsheets/d/1-uDff_7J0KD5mKrp0Vvzr7lt3OU09vwQwhkpOPPYv2Y/edit?usp=sharing"",""งบพรบ!FP18"")"),0)</f>
        <v>0</v>
      </c>
      <c r="M385" s="50">
        <f ca="1">IFERROR(__xludf.DUMMYFUNCTION("IMPORTRANGE(""https://docs.google.com/spreadsheets/d/1-uDff_7J0KD5mKrp0Vvzr7lt3OU09vwQwhkpOPPYv2Y/edit?usp=sharing"",""งบพรบ!FS18"")"),0)</f>
        <v>0</v>
      </c>
      <c r="N385" s="50">
        <f ca="1">IFERROR(__xludf.DUMMYFUNCTION("IMPORTRANGE(""https://docs.google.com/spreadsheets/d/1-uDff_7J0KD5mKrp0Vvzr7lt3OU09vwQwhkpOPPYv2Y/edit?usp=sharing"",""งบพรบ!FU18"")"),0)</f>
        <v>0</v>
      </c>
      <c r="O385" s="50">
        <f ca="1">IF(L385&gt;0,N385*100/L385,0)</f>
        <v>0</v>
      </c>
      <c r="P385" s="50">
        <f ca="1">IF(M385&gt;0,N385*100/M385,0)</f>
        <v>0</v>
      </c>
    </row>
    <row r="386" spans="1:16" ht="19.5" hidden="1" x14ac:dyDescent="0.3">
      <c r="A386" s="148"/>
      <c r="B386" s="149"/>
      <c r="C386" s="260" t="s">
        <v>16</v>
      </c>
      <c r="D386" s="394" t="s">
        <v>36</v>
      </c>
      <c r="E386" s="151"/>
      <c r="F386" s="151"/>
      <c r="G386" s="152"/>
      <c r="H386" s="153"/>
      <c r="I386" s="144"/>
      <c r="J386" s="45"/>
      <c r="K386" s="46"/>
      <c r="L386" s="46"/>
      <c r="M386" s="46"/>
      <c r="N386" s="46"/>
      <c r="O386" s="145"/>
      <c r="P386" s="145"/>
    </row>
    <row r="387" spans="1:16" ht="18.75" hidden="1" x14ac:dyDescent="0.25">
      <c r="A387" s="227"/>
      <c r="B387" s="41"/>
      <c r="C387" s="228"/>
      <c r="D387" s="267" t="s">
        <v>150</v>
      </c>
      <c r="E387" s="149"/>
      <c r="F387" s="41"/>
      <c r="G387" s="43"/>
      <c r="H387" s="232" t="s">
        <v>9</v>
      </c>
      <c r="I387" s="200">
        <v>0</v>
      </c>
      <c r="J387" s="201">
        <v>0</v>
      </c>
      <c r="K387" s="50">
        <f>IF(I387&gt;0,J387*100/I387,0)</f>
        <v>0</v>
      </c>
      <c r="L387" s="46"/>
      <c r="M387" s="46"/>
      <c r="N387" s="46"/>
      <c r="O387" s="46"/>
      <c r="P387" s="46"/>
    </row>
    <row r="388" spans="1:16" ht="18.75" hidden="1" x14ac:dyDescent="0.25">
      <c r="A388" s="374"/>
      <c r="B388" s="1"/>
      <c r="C388" s="2"/>
      <c r="D388" s="375" t="s">
        <v>151</v>
      </c>
      <c r="E388" s="281"/>
      <c r="F388" s="1"/>
      <c r="G388" s="54"/>
      <c r="H388" s="376" t="s">
        <v>54</v>
      </c>
      <c r="I388" s="205">
        <v>0</v>
      </c>
      <c r="J388" s="206">
        <v>0</v>
      </c>
      <c r="K388" s="207">
        <f>IF(I388&gt;0,J388*100/I388,0)</f>
        <v>0</v>
      </c>
      <c r="L388" s="57"/>
      <c r="M388" s="57"/>
      <c r="N388" s="57"/>
      <c r="O388" s="57"/>
      <c r="P388" s="57"/>
    </row>
    <row r="389" spans="1:16" ht="12.75" x14ac:dyDescent="0.2">
      <c r="A389" s="168"/>
      <c r="B389" s="168"/>
      <c r="C389" s="168"/>
      <c r="D389" s="168"/>
      <c r="E389" s="168"/>
      <c r="F389" s="168"/>
      <c r="G389" s="168"/>
      <c r="H389" s="168"/>
      <c r="I389" s="168"/>
      <c r="J389" s="168"/>
      <c r="K389" s="168"/>
      <c r="L389" s="168"/>
      <c r="M389" s="168"/>
      <c r="N389" s="168"/>
      <c r="O389" s="168"/>
      <c r="P389" s="168"/>
    </row>
    <row r="390" spans="1:16" ht="16.5" x14ac:dyDescent="0.25">
      <c r="A390" s="377" t="s">
        <v>152</v>
      </c>
      <c r="B390" s="168"/>
      <c r="C390" s="168"/>
      <c r="D390" s="168"/>
      <c r="E390" s="168"/>
      <c r="F390" s="168"/>
      <c r="G390" s="168"/>
      <c r="H390" s="168"/>
      <c r="I390" s="168"/>
      <c r="J390" s="168"/>
      <c r="K390" s="168"/>
      <c r="L390" s="168"/>
      <c r="M390" s="168"/>
      <c r="N390" s="168"/>
      <c r="O390" s="168"/>
      <c r="P390" s="168"/>
    </row>
    <row r="391" spans="1:16" ht="16.5" x14ac:dyDescent="0.25">
      <c r="A391" s="377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8"/>
      <c r="C391" s="168"/>
      <c r="D391" s="168"/>
      <c r="E391" s="168"/>
      <c r="F391" s="168"/>
      <c r="G391" s="168"/>
      <c r="H391" s="168"/>
      <c r="I391" s="168"/>
      <c r="J391" s="168"/>
      <c r="K391" s="168"/>
      <c r="L391" s="168"/>
      <c r="M391" s="168"/>
      <c r="N391" s="168"/>
      <c r="O391" s="168"/>
      <c r="P391" s="16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2" orientation="portrait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18656-3B1E-4B80-A9EF-604774C9338C}">
  <sheetPr>
    <outlinePr summaryBelow="0" summaryRight="0"/>
  </sheetPr>
  <dimension ref="A1:P391"/>
  <sheetViews>
    <sheetView view="pageBreakPreview" zoomScale="60" zoomScaleNormal="68" workbookViewId="0">
      <pane xSplit="8" ySplit="6" topLeftCell="I339" activePane="bottomRight" state="frozen"/>
      <selection activeCell="P44" sqref="P44"/>
      <selection pane="topRight" activeCell="P44" sqref="P44"/>
      <selection pane="bottomLeft" activeCell="P44" sqref="P44"/>
      <selection pane="bottomRight" activeCell="P44" sqref="P4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3" width="21.5703125" bestFit="1" customWidth="1"/>
    <col min="14" max="14" width="19" bestFit="1" customWidth="1"/>
    <col min="15" max="15" width="17.5703125" customWidth="1"/>
    <col min="16" max="16" width="22.42578125" bestFit="1" customWidth="1"/>
  </cols>
  <sheetData>
    <row r="1" spans="1:16" ht="19.5" x14ac:dyDescent="0.3">
      <c r="A1" s="386" t="s">
        <v>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</row>
    <row r="2" spans="1:16" ht="19.5" x14ac:dyDescent="0.3">
      <c r="A2" s="386" t="s">
        <v>161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</row>
    <row r="3" spans="1:16" ht="19.5" x14ac:dyDescent="0.3">
      <c r="A3" s="386" t="s">
        <v>175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388" t="s">
        <v>2</v>
      </c>
      <c r="B5" s="387"/>
      <c r="C5" s="387"/>
      <c r="D5" s="387"/>
      <c r="E5" s="387"/>
      <c r="F5" s="387"/>
      <c r="G5" s="389"/>
      <c r="H5" s="4" t="s">
        <v>3</v>
      </c>
      <c r="I5" s="391" t="s">
        <v>4</v>
      </c>
      <c r="J5" s="379"/>
      <c r="K5" s="380"/>
      <c r="L5" s="392" t="s">
        <v>5</v>
      </c>
      <c r="M5" s="380"/>
      <c r="N5" s="393" t="s">
        <v>6</v>
      </c>
      <c r="O5" s="379"/>
      <c r="P5" s="380"/>
    </row>
    <row r="6" spans="1:16" ht="19.5" x14ac:dyDescent="0.3">
      <c r="A6" s="390"/>
      <c r="B6" s="379"/>
      <c r="C6" s="379"/>
      <c r="D6" s="379"/>
      <c r="E6" s="379"/>
      <c r="F6" s="379"/>
      <c r="G6" s="380"/>
      <c r="H6" s="5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466" t="s">
        <v>14</v>
      </c>
    </row>
    <row r="7" spans="1:16" ht="12.75" hidden="1" x14ac:dyDescent="0.2">
      <c r="A7" s="381"/>
      <c r="B7" s="379"/>
      <c r="C7" s="379"/>
      <c r="D7" s="379"/>
      <c r="E7" s="379"/>
      <c r="F7" s="379"/>
      <c r="G7" s="380"/>
      <c r="H7" s="12"/>
      <c r="I7" s="13"/>
      <c r="J7" s="13"/>
      <c r="K7" s="14"/>
      <c r="L7" s="14"/>
      <c r="M7" s="14"/>
      <c r="N7" s="14"/>
      <c r="O7" s="14"/>
      <c r="P7" s="14"/>
    </row>
    <row r="8" spans="1:16" ht="12.75" hidden="1" x14ac:dyDescent="0.2">
      <c r="A8" s="15"/>
      <c r="B8" s="16"/>
      <c r="C8" s="16"/>
      <c r="D8" s="16"/>
      <c r="E8" s="16"/>
      <c r="F8" s="16"/>
      <c r="G8" s="17"/>
      <c r="H8" s="17"/>
      <c r="I8" s="18"/>
      <c r="J8" s="18"/>
      <c r="K8" s="19"/>
      <c r="L8" s="19"/>
      <c r="M8" s="19"/>
      <c r="N8" s="19"/>
      <c r="O8" s="19"/>
      <c r="P8" s="19"/>
    </row>
    <row r="9" spans="1:16" ht="12.75" hidden="1" x14ac:dyDescent="0.2">
      <c r="A9" s="15"/>
      <c r="B9" s="16"/>
      <c r="C9" s="16"/>
      <c r="D9" s="16"/>
      <c r="E9" s="16"/>
      <c r="F9" s="16"/>
      <c r="G9" s="17"/>
      <c r="H9" s="17"/>
      <c r="I9" s="18"/>
      <c r="J9" s="18"/>
      <c r="K9" s="19"/>
      <c r="L9" s="19"/>
      <c r="M9" s="19"/>
      <c r="N9" s="19"/>
      <c r="O9" s="19"/>
      <c r="P9" s="19"/>
    </row>
    <row r="10" spans="1:16" ht="12.75" hidden="1" x14ac:dyDescent="0.2">
      <c r="A10" s="15"/>
      <c r="B10" s="16"/>
      <c r="C10" s="16"/>
      <c r="D10" s="16"/>
      <c r="E10" s="16"/>
      <c r="F10" s="16"/>
      <c r="G10" s="17"/>
      <c r="H10" s="17"/>
      <c r="I10" s="18"/>
      <c r="J10" s="18"/>
      <c r="K10" s="19"/>
      <c r="L10" s="19"/>
      <c r="M10" s="19"/>
      <c r="N10" s="19"/>
      <c r="O10" s="19"/>
      <c r="P10" s="19"/>
    </row>
    <row r="11" spans="1:16" ht="12.75" hidden="1" x14ac:dyDescent="0.2">
      <c r="A11" s="15"/>
      <c r="B11" s="16"/>
      <c r="C11" s="16"/>
      <c r="D11" s="16"/>
      <c r="E11" s="16"/>
      <c r="F11" s="16"/>
      <c r="G11" s="17"/>
      <c r="H11" s="17"/>
      <c r="I11" s="18"/>
      <c r="J11" s="18"/>
      <c r="K11" s="19"/>
      <c r="L11" s="19"/>
      <c r="M11" s="19"/>
      <c r="N11" s="19"/>
      <c r="O11" s="19"/>
      <c r="P11" s="19"/>
    </row>
    <row r="12" spans="1:16" ht="12.75" hidden="1" x14ac:dyDescent="0.2">
      <c r="A12" s="15"/>
      <c r="B12" s="16"/>
      <c r="C12" s="16"/>
      <c r="D12" s="16"/>
      <c r="E12" s="16"/>
      <c r="F12" s="16"/>
      <c r="G12" s="17"/>
      <c r="H12" s="17"/>
      <c r="I12" s="18"/>
      <c r="J12" s="18"/>
      <c r="K12" s="19"/>
      <c r="L12" s="19"/>
      <c r="M12" s="19"/>
      <c r="N12" s="19"/>
      <c r="O12" s="19"/>
      <c r="P12" s="19"/>
    </row>
    <row r="13" spans="1:16" ht="12.75" hidden="1" x14ac:dyDescent="0.2">
      <c r="A13" s="15"/>
      <c r="B13" s="16"/>
      <c r="C13" s="16"/>
      <c r="D13" s="16"/>
      <c r="E13" s="16"/>
      <c r="F13" s="16"/>
      <c r="G13" s="17"/>
      <c r="H13" s="17"/>
      <c r="I13" s="18"/>
      <c r="J13" s="18"/>
      <c r="K13" s="19"/>
      <c r="L13" s="19"/>
      <c r="M13" s="19"/>
      <c r="N13" s="19"/>
      <c r="O13" s="19"/>
      <c r="P13" s="19"/>
    </row>
    <row r="14" spans="1:16" ht="12.75" hidden="1" x14ac:dyDescent="0.2">
      <c r="A14" s="15"/>
      <c r="B14" s="16"/>
      <c r="C14" s="16"/>
      <c r="D14" s="16"/>
      <c r="E14" s="16"/>
      <c r="F14" s="16"/>
      <c r="G14" s="17"/>
      <c r="H14" s="17"/>
      <c r="I14" s="18"/>
      <c r="J14" s="18"/>
      <c r="K14" s="19"/>
      <c r="L14" s="19"/>
      <c r="M14" s="19"/>
      <c r="N14" s="19"/>
      <c r="O14" s="19"/>
      <c r="P14" s="19"/>
    </row>
    <row r="15" spans="1:16" ht="12.75" hidden="1" x14ac:dyDescent="0.2">
      <c r="A15" s="15"/>
      <c r="B15" s="16"/>
      <c r="C15" s="16"/>
      <c r="D15" s="16"/>
      <c r="E15" s="16"/>
      <c r="F15" s="16"/>
      <c r="G15" s="17"/>
      <c r="H15" s="17"/>
      <c r="I15" s="18"/>
      <c r="J15" s="18"/>
      <c r="K15" s="19"/>
      <c r="L15" s="19"/>
      <c r="M15" s="19"/>
      <c r="N15" s="19"/>
      <c r="O15" s="19"/>
      <c r="P15" s="19"/>
    </row>
    <row r="16" spans="1:16" ht="12.75" hidden="1" x14ac:dyDescent="0.2">
      <c r="A16" s="20"/>
      <c r="B16" s="21"/>
      <c r="C16" s="21"/>
      <c r="D16" s="21"/>
      <c r="E16" s="21"/>
      <c r="F16" s="21"/>
      <c r="G16" s="12"/>
      <c r="H16" s="12"/>
      <c r="I16" s="13"/>
      <c r="J16" s="13"/>
      <c r="K16" s="14"/>
      <c r="L16" s="14"/>
      <c r="M16" s="14"/>
      <c r="N16" s="14"/>
      <c r="O16" s="14"/>
      <c r="P16" s="14"/>
    </row>
    <row r="17" spans="1:16" ht="19.5" x14ac:dyDescent="0.3">
      <c r="A17" s="378" t="s">
        <v>15</v>
      </c>
      <c r="B17" s="379"/>
      <c r="C17" s="379"/>
      <c r="D17" s="379"/>
      <c r="E17" s="379"/>
      <c r="F17" s="379"/>
      <c r="G17" s="380"/>
      <c r="H17" s="22"/>
      <c r="I17" s="23"/>
      <c r="J17" s="23"/>
      <c r="K17" s="24"/>
      <c r="L17" s="24"/>
      <c r="M17" s="24"/>
      <c r="N17" s="24"/>
      <c r="O17" s="24"/>
      <c r="P17" s="24"/>
    </row>
    <row r="18" spans="1:16" ht="19.5" x14ac:dyDescent="0.3">
      <c r="A18" s="25"/>
      <c r="B18" s="26"/>
      <c r="C18" s="132" t="s">
        <v>16</v>
      </c>
      <c r="D18" s="28" t="s">
        <v>17</v>
      </c>
      <c r="E18" s="26"/>
      <c r="F18" s="26"/>
      <c r="G18" s="29"/>
      <c r="H18" s="30" t="s">
        <v>12</v>
      </c>
      <c r="I18" s="31"/>
      <c r="J18" s="31"/>
      <c r="K18" s="32"/>
      <c r="L18" s="33">
        <f ca="1">L19+L20</f>
        <v>2453135</v>
      </c>
      <c r="M18" s="33">
        <f ca="1">M19+M20</f>
        <v>2090795</v>
      </c>
      <c r="N18" s="33">
        <f ca="1">N19+N20</f>
        <v>466308.1</v>
      </c>
      <c r="O18" s="33">
        <f ca="1">IF(L18&gt;0,N18*100/L18,0)</f>
        <v>19.008660346862282</v>
      </c>
      <c r="P18" s="33">
        <f ca="1">IF(M18&gt;0,N18*100/M18,0)</f>
        <v>22.302908702192227</v>
      </c>
    </row>
    <row r="19" spans="1:16" ht="18.75" hidden="1" x14ac:dyDescent="0.25">
      <c r="A19" s="25"/>
      <c r="B19" s="26"/>
      <c r="C19" s="26"/>
      <c r="D19" s="26"/>
      <c r="E19" s="34" t="s">
        <v>18</v>
      </c>
      <c r="F19" s="26"/>
      <c r="G19" s="29"/>
      <c r="H19" s="35" t="s">
        <v>12</v>
      </c>
      <c r="I19" s="31"/>
      <c r="J19" s="31"/>
      <c r="K19" s="32"/>
      <c r="L19" s="36">
        <f>L22+L25</f>
        <v>0</v>
      </c>
      <c r="M19" s="36">
        <f>M22+M25</f>
        <v>0</v>
      </c>
      <c r="N19" s="36">
        <f>N22+N25</f>
        <v>0</v>
      </c>
      <c r="O19" s="36">
        <f>IF(L19&gt;0,N19*100/L19,0)</f>
        <v>0</v>
      </c>
      <c r="P19" s="36">
        <f>IF(M19&gt;0,N19*100/M19,0)</f>
        <v>0</v>
      </c>
    </row>
    <row r="20" spans="1:16" ht="18.75" x14ac:dyDescent="0.25">
      <c r="A20" s="25"/>
      <c r="B20" s="26"/>
      <c r="C20" s="26"/>
      <c r="D20" s="26"/>
      <c r="E20" s="37" t="s">
        <v>19</v>
      </c>
      <c r="F20" s="26"/>
      <c r="G20" s="29"/>
      <c r="H20" s="38" t="s">
        <v>12</v>
      </c>
      <c r="I20" s="31"/>
      <c r="J20" s="31"/>
      <c r="K20" s="32"/>
      <c r="L20" s="39">
        <f ca="1">L23+L26</f>
        <v>2453135</v>
      </c>
      <c r="M20" s="39">
        <f ca="1">M23+M26</f>
        <v>2090795</v>
      </c>
      <c r="N20" s="39">
        <f ca="1">N23+N26</f>
        <v>466308.1</v>
      </c>
      <c r="O20" s="39">
        <f ca="1">IF(L20&gt;0,N20*100/L20,0)</f>
        <v>19.008660346862282</v>
      </c>
      <c r="P20" s="39">
        <f ca="1">IF(M20&gt;0,N20*100/M20,0)</f>
        <v>22.302908702192227</v>
      </c>
    </row>
    <row r="21" spans="1:16" ht="18.75" x14ac:dyDescent="0.25">
      <c r="A21" s="40"/>
      <c r="B21" s="41"/>
      <c r="C21" s="41"/>
      <c r="D21" s="42" t="s">
        <v>20</v>
      </c>
      <c r="E21" s="41"/>
      <c r="F21" s="41"/>
      <c r="G21" s="43"/>
      <c r="H21" s="44" t="s">
        <v>12</v>
      </c>
      <c r="I21" s="45"/>
      <c r="J21" s="45"/>
      <c r="K21" s="46"/>
      <c r="L21" s="47">
        <f ca="1">L22+L23</f>
        <v>2453135</v>
      </c>
      <c r="M21" s="47">
        <f ca="1">M22+M23</f>
        <v>2090795</v>
      </c>
      <c r="N21" s="47">
        <f ca="1">N22+N23</f>
        <v>466308.1</v>
      </c>
      <c r="O21" s="47">
        <f ca="1">IF(L21&gt;0,N21*100/L21,0)</f>
        <v>19.008660346862282</v>
      </c>
      <c r="P21" s="47">
        <f ca="1">IF(M21&gt;0,N21*100/M21,0)</f>
        <v>22.302908702192227</v>
      </c>
    </row>
    <row r="22" spans="1:16" ht="18.75" hidden="1" x14ac:dyDescent="0.25">
      <c r="A22" s="40"/>
      <c r="B22" s="41"/>
      <c r="C22" s="41"/>
      <c r="D22" s="41"/>
      <c r="E22" s="279" t="s">
        <v>18</v>
      </c>
      <c r="F22" s="41"/>
      <c r="G22" s="43"/>
      <c r="H22" s="49" t="s">
        <v>12</v>
      </c>
      <c r="I22" s="45"/>
      <c r="J22" s="45"/>
      <c r="K22" s="46"/>
      <c r="L22" s="50">
        <f>L48+L63+L76+L98+L129+L143+L161+L190+L177+L270+L286+L307+L324+L337+L360+L381</f>
        <v>0</v>
      </c>
      <c r="M22" s="50">
        <f>M48+M63+M76+M98+M129+M143+M161+M190+M177+M270+M286+M307+M324+M337+M360+M381</f>
        <v>0</v>
      </c>
      <c r="N22" s="50">
        <f>N48+N63+N76+N98+N129+N143+N161+N190+N177+N270+N286+N307+N324+N337+N360+N381</f>
        <v>0</v>
      </c>
      <c r="O22" s="50">
        <f>IF(L22&gt;0,N22*100/L22,0)</f>
        <v>0</v>
      </c>
      <c r="P22" s="50">
        <f>IF(M22&gt;0,N22*100/M22,0)</f>
        <v>0</v>
      </c>
    </row>
    <row r="23" spans="1:16" ht="18.75" x14ac:dyDescent="0.25">
      <c r="A23" s="40"/>
      <c r="B23" s="41"/>
      <c r="C23" s="41"/>
      <c r="D23" s="41"/>
      <c r="E23" s="254" t="s">
        <v>19</v>
      </c>
      <c r="F23" s="41"/>
      <c r="G23" s="43"/>
      <c r="H23" s="44" t="s">
        <v>12</v>
      </c>
      <c r="I23" s="45"/>
      <c r="J23" s="45"/>
      <c r="K23" s="46"/>
      <c r="L23" s="47">
        <f ca="1">L49+L64+L77+L99+L130+L144+L162+L191+L178+L271+L287+L308+L325+L338+L361+L382</f>
        <v>2453135</v>
      </c>
      <c r="M23" s="47">
        <f ca="1">M49+M64+M77+M99+M130+M144+M162+M191+M178+M271+M287+M308+M325+M338+M361+M382</f>
        <v>2090795</v>
      </c>
      <c r="N23" s="47">
        <f ca="1">N49+N64+N77+N99+N130+N144+N162+N191+N178+N271+N287+N308+N325+N338+N361+N382</f>
        <v>466308.1</v>
      </c>
      <c r="O23" s="47">
        <f ca="1">IF(L23&gt;0,N23*100/L23,0)</f>
        <v>19.008660346862282</v>
      </c>
      <c r="P23" s="47">
        <f ca="1">IF(M23&gt;0,N23*100/M23,0)</f>
        <v>22.302908702192227</v>
      </c>
    </row>
    <row r="24" spans="1:16" ht="18.75" x14ac:dyDescent="0.25">
      <c r="A24" s="40"/>
      <c r="B24" s="41"/>
      <c r="C24" s="41"/>
      <c r="D24" s="42" t="s">
        <v>21</v>
      </c>
      <c r="E24" s="41"/>
      <c r="F24" s="41"/>
      <c r="G24" s="43"/>
      <c r="H24" s="44" t="s">
        <v>12</v>
      </c>
      <c r="I24" s="45"/>
      <c r="J24" s="45"/>
      <c r="K24" s="46"/>
      <c r="L24" s="47">
        <f ca="1">L25+L26</f>
        <v>0</v>
      </c>
      <c r="M24" s="47">
        <f ca="1">M25+M26</f>
        <v>0</v>
      </c>
      <c r="N24" s="47">
        <f ca="1">N25+N26</f>
        <v>0</v>
      </c>
      <c r="O24" s="47">
        <f ca="1">IF(L24&gt;0,N24*100/L24,0)</f>
        <v>0</v>
      </c>
      <c r="P24" s="47">
        <f ca="1">IF(M24&gt;0,N24*100/M24,0)</f>
        <v>0</v>
      </c>
    </row>
    <row r="25" spans="1:16" ht="18.75" hidden="1" x14ac:dyDescent="0.25">
      <c r="A25" s="40"/>
      <c r="B25" s="41"/>
      <c r="C25" s="41"/>
      <c r="D25" s="41"/>
      <c r="E25" s="279" t="s">
        <v>18</v>
      </c>
      <c r="F25" s="41"/>
      <c r="G25" s="43"/>
      <c r="H25" s="49" t="s">
        <v>12</v>
      </c>
      <c r="I25" s="45"/>
      <c r="J25" s="45"/>
      <c r="K25" s="46"/>
      <c r="L25" s="50">
        <f>L51+L66+L79+L101+L132+L146+L164+L193+L180+L273+L289+L310+L327+L340+L363+L384</f>
        <v>0</v>
      </c>
      <c r="M25" s="50">
        <f>M51+M66+M79+M101+M132+M146+M164+M193+M180+M273+M289+M310+M327+M340+M363+M384</f>
        <v>0</v>
      </c>
      <c r="N25" s="50">
        <f>N51+N66+N79+N101+N132+N146+N164+N193+N180+N273+N289+N310+N327+N340+N363+N384</f>
        <v>0</v>
      </c>
      <c r="O25" s="50">
        <f>IF(L25&gt;0,N25*100/L25,0)</f>
        <v>0</v>
      </c>
      <c r="P25" s="50">
        <f>IF(M25&gt;0,N25*100/M25,0)</f>
        <v>0</v>
      </c>
    </row>
    <row r="26" spans="1:16" ht="18.75" x14ac:dyDescent="0.25">
      <c r="A26" s="40"/>
      <c r="B26" s="41"/>
      <c r="C26" s="41"/>
      <c r="D26" s="41"/>
      <c r="E26" s="254" t="s">
        <v>19</v>
      </c>
      <c r="F26" s="41"/>
      <c r="G26" s="43"/>
      <c r="H26" s="44" t="s">
        <v>12</v>
      </c>
      <c r="I26" s="45"/>
      <c r="J26" s="45"/>
      <c r="K26" s="46"/>
      <c r="L26" s="47">
        <f ca="1">L52+L67+L80+L102+L133+L147+L165+L194+L181+L274+L290+L311+L328+L341+L364+L385</f>
        <v>0</v>
      </c>
      <c r="M26" s="47">
        <f ca="1">M52+M67+M80+M102+M133+M147+M165+M194+M181+M274+M290+M311+M328+M341+M364+M385</f>
        <v>0</v>
      </c>
      <c r="N26" s="47">
        <f ca="1">N52+N67+N80+N102+N133+N147+N165+N194+N181+N274+N290+N311+N328+N341+N364+N385</f>
        <v>0</v>
      </c>
      <c r="O26" s="47">
        <f ca="1">IF(L26&gt;0,N26*100/L26,0)</f>
        <v>0</v>
      </c>
      <c r="P26" s="47">
        <f ca="1">IF(M26&gt;0,N26*100/M26,0)</f>
        <v>0</v>
      </c>
    </row>
    <row r="27" spans="1:16" ht="18.75" hidden="1" x14ac:dyDescent="0.25">
      <c r="A27" s="40"/>
      <c r="B27" s="41"/>
      <c r="C27" s="41"/>
      <c r="D27" s="42" t="s">
        <v>22</v>
      </c>
      <c r="E27" s="41"/>
      <c r="F27" s="41"/>
      <c r="G27" s="43"/>
      <c r="H27" s="44" t="s">
        <v>12</v>
      </c>
      <c r="I27" s="45"/>
      <c r="J27" s="45"/>
      <c r="K27" s="46"/>
      <c r="L27" s="47"/>
      <c r="M27" s="47"/>
      <c r="N27" s="47"/>
      <c r="O27" s="47"/>
      <c r="P27" s="47"/>
    </row>
    <row r="28" spans="1:16" ht="18.75" hidden="1" x14ac:dyDescent="0.25">
      <c r="A28" s="40"/>
      <c r="B28" s="41"/>
      <c r="C28" s="41"/>
      <c r="D28" s="41"/>
      <c r="E28" s="279" t="s">
        <v>18</v>
      </c>
      <c r="F28" s="41"/>
      <c r="G28" s="43"/>
      <c r="H28" s="49" t="s">
        <v>12</v>
      </c>
      <c r="I28" s="45"/>
      <c r="J28" s="45"/>
      <c r="K28" s="46"/>
      <c r="L28" s="50"/>
      <c r="M28" s="50"/>
      <c r="N28" s="50"/>
      <c r="O28" s="50"/>
      <c r="P28" s="50"/>
    </row>
    <row r="29" spans="1:16" ht="18.75" hidden="1" x14ac:dyDescent="0.25">
      <c r="A29" s="52"/>
      <c r="B29" s="1"/>
      <c r="C29" s="1"/>
      <c r="D29" s="1"/>
      <c r="E29" s="53" t="s">
        <v>19</v>
      </c>
      <c r="F29" s="1"/>
      <c r="G29" s="54"/>
      <c r="H29" s="55" t="s">
        <v>12</v>
      </c>
      <c r="I29" s="56"/>
      <c r="J29" s="56"/>
      <c r="K29" s="57"/>
      <c r="L29" s="58"/>
      <c r="M29" s="58"/>
      <c r="N29" s="58"/>
      <c r="O29" s="58"/>
      <c r="P29" s="58"/>
    </row>
    <row r="30" spans="1:16" ht="12.75" hidden="1" x14ac:dyDescent="0.2">
      <c r="A30" s="381"/>
      <c r="B30" s="379"/>
      <c r="C30" s="379"/>
      <c r="D30" s="379"/>
      <c r="E30" s="379"/>
      <c r="F30" s="379"/>
      <c r="G30" s="380"/>
      <c r="H30" s="12"/>
      <c r="I30" s="13"/>
      <c r="J30" s="13"/>
      <c r="K30" s="14"/>
      <c r="L30" s="14"/>
      <c r="M30" s="14"/>
      <c r="N30" s="14"/>
      <c r="O30" s="14"/>
      <c r="P30" s="14"/>
    </row>
    <row r="31" spans="1:16" ht="12.75" hidden="1" x14ac:dyDescent="0.2">
      <c r="A31" s="15"/>
      <c r="B31" s="16"/>
      <c r="C31" s="16"/>
      <c r="D31" s="16"/>
      <c r="E31" s="16"/>
      <c r="F31" s="16"/>
      <c r="G31" s="17"/>
      <c r="H31" s="17"/>
      <c r="I31" s="18"/>
      <c r="J31" s="18"/>
      <c r="K31" s="19"/>
      <c r="L31" s="19"/>
      <c r="M31" s="19"/>
      <c r="N31" s="19"/>
      <c r="O31" s="19"/>
      <c r="P31" s="19"/>
    </row>
    <row r="32" spans="1:16" ht="12.75" hidden="1" x14ac:dyDescent="0.2">
      <c r="A32" s="15"/>
      <c r="B32" s="16"/>
      <c r="C32" s="16"/>
      <c r="D32" s="16"/>
      <c r="E32" s="16"/>
      <c r="F32" s="16"/>
      <c r="G32" s="17"/>
      <c r="H32" s="17"/>
      <c r="I32" s="18"/>
      <c r="J32" s="18"/>
      <c r="K32" s="19"/>
      <c r="L32" s="19"/>
      <c r="M32" s="19"/>
      <c r="N32" s="19"/>
      <c r="O32" s="19"/>
      <c r="P32" s="19"/>
    </row>
    <row r="33" spans="1:16" ht="12.75" hidden="1" x14ac:dyDescent="0.2">
      <c r="A33" s="15"/>
      <c r="B33" s="16"/>
      <c r="C33" s="16"/>
      <c r="D33" s="16"/>
      <c r="E33" s="16"/>
      <c r="F33" s="16"/>
      <c r="G33" s="17"/>
      <c r="H33" s="17"/>
      <c r="I33" s="18"/>
      <c r="J33" s="18"/>
      <c r="K33" s="19"/>
      <c r="L33" s="19"/>
      <c r="M33" s="19"/>
      <c r="N33" s="19"/>
      <c r="O33" s="19"/>
      <c r="P33" s="19"/>
    </row>
    <row r="34" spans="1:16" ht="12.75" hidden="1" x14ac:dyDescent="0.2">
      <c r="A34" s="15"/>
      <c r="B34" s="16"/>
      <c r="C34" s="16"/>
      <c r="D34" s="16"/>
      <c r="E34" s="16"/>
      <c r="F34" s="16"/>
      <c r="G34" s="17"/>
      <c r="H34" s="17"/>
      <c r="I34" s="18"/>
      <c r="J34" s="18"/>
      <c r="K34" s="19"/>
      <c r="L34" s="19"/>
      <c r="M34" s="19"/>
      <c r="N34" s="19"/>
      <c r="O34" s="19"/>
      <c r="P34" s="19"/>
    </row>
    <row r="35" spans="1:16" ht="12.75" hidden="1" x14ac:dyDescent="0.2">
      <c r="A35" s="15"/>
      <c r="B35" s="16"/>
      <c r="C35" s="16"/>
      <c r="D35" s="16"/>
      <c r="E35" s="16"/>
      <c r="F35" s="16"/>
      <c r="G35" s="17"/>
      <c r="H35" s="17"/>
      <c r="I35" s="18"/>
      <c r="J35" s="18"/>
      <c r="K35" s="19"/>
      <c r="L35" s="19"/>
      <c r="M35" s="19"/>
      <c r="N35" s="19"/>
      <c r="O35" s="19"/>
      <c r="P35" s="19"/>
    </row>
    <row r="36" spans="1:16" ht="12.75" hidden="1" x14ac:dyDescent="0.2">
      <c r="A36" s="15"/>
      <c r="B36" s="16"/>
      <c r="C36" s="16"/>
      <c r="D36" s="16"/>
      <c r="E36" s="16"/>
      <c r="F36" s="16"/>
      <c r="G36" s="17"/>
      <c r="H36" s="17"/>
      <c r="I36" s="18"/>
      <c r="J36" s="18"/>
      <c r="K36" s="19"/>
      <c r="L36" s="19"/>
      <c r="M36" s="19"/>
      <c r="N36" s="19"/>
      <c r="O36" s="19"/>
      <c r="P36" s="19"/>
    </row>
    <row r="37" spans="1:16" ht="12.75" hidden="1" x14ac:dyDescent="0.2">
      <c r="A37" s="15"/>
      <c r="B37" s="16"/>
      <c r="C37" s="16"/>
      <c r="D37" s="16"/>
      <c r="E37" s="16"/>
      <c r="F37" s="16"/>
      <c r="G37" s="17"/>
      <c r="H37" s="17"/>
      <c r="I37" s="18"/>
      <c r="J37" s="18"/>
      <c r="K37" s="19"/>
      <c r="L37" s="19"/>
      <c r="M37" s="19"/>
      <c r="N37" s="19"/>
      <c r="O37" s="19"/>
      <c r="P37" s="19"/>
    </row>
    <row r="38" spans="1:16" ht="12.75" hidden="1" x14ac:dyDescent="0.2">
      <c r="A38" s="15"/>
      <c r="B38" s="16"/>
      <c r="C38" s="16"/>
      <c r="D38" s="16"/>
      <c r="E38" s="16"/>
      <c r="F38" s="16"/>
      <c r="G38" s="17"/>
      <c r="H38" s="17"/>
      <c r="I38" s="18"/>
      <c r="J38" s="18"/>
      <c r="K38" s="19"/>
      <c r="L38" s="19"/>
      <c r="M38" s="19"/>
      <c r="N38" s="19"/>
      <c r="O38" s="19"/>
      <c r="P38" s="19"/>
    </row>
    <row r="39" spans="1:16" ht="12.75" hidden="1" x14ac:dyDescent="0.2">
      <c r="A39" s="20"/>
      <c r="B39" s="21"/>
      <c r="C39" s="21"/>
      <c r="D39" s="21"/>
      <c r="E39" s="21"/>
      <c r="F39" s="21"/>
      <c r="G39" s="12"/>
      <c r="H39" s="12"/>
      <c r="I39" s="13"/>
      <c r="J39" s="13"/>
      <c r="K39" s="14"/>
      <c r="L39" s="14"/>
      <c r="M39" s="14"/>
      <c r="N39" s="14"/>
      <c r="O39" s="14"/>
      <c r="P39" s="14"/>
    </row>
    <row r="40" spans="1:16" ht="19.5" hidden="1" x14ac:dyDescent="0.3">
      <c r="A40" s="59" t="s">
        <v>23</v>
      </c>
      <c r="B40" s="60"/>
      <c r="C40" s="60"/>
      <c r="D40" s="60"/>
      <c r="E40" s="60"/>
      <c r="F40" s="60"/>
      <c r="G40" s="61"/>
      <c r="H40" s="61"/>
      <c r="I40" s="62"/>
      <c r="J40" s="62"/>
      <c r="K40" s="63"/>
      <c r="L40" s="64">
        <f ca="1">L44+L59+L72+L94+L125+L139+L157+L173+L186+L266+L282+L303+L320+L333+L356</f>
        <v>2453135</v>
      </c>
      <c r="M40" s="64">
        <f ca="1">M44+M59+M72+M94+M125+M139+M157+M173+M186+M266+M282+M303+M320+M333+M356</f>
        <v>2090795</v>
      </c>
      <c r="N40" s="64">
        <f ca="1">N44+N59+N72+N94+N125+N139+N157+N173+N186+N266+N282+N303+N320+N333+N356</f>
        <v>466308.1</v>
      </c>
      <c r="O40" s="64">
        <f ca="1">IF(L40&gt;0,N40*100/L40,0)</f>
        <v>19.008660346862282</v>
      </c>
      <c r="P40" s="64">
        <f ca="1">IF(M40&gt;0,N40*100/M40,0)</f>
        <v>22.302908702192227</v>
      </c>
    </row>
    <row r="41" spans="1:16" ht="19.5" x14ac:dyDescent="0.3">
      <c r="A41" s="65" t="s">
        <v>24</v>
      </c>
      <c r="B41" s="66"/>
      <c r="C41" s="66"/>
      <c r="D41" s="66"/>
      <c r="E41" s="66"/>
      <c r="F41" s="66"/>
      <c r="G41" s="66"/>
      <c r="H41" s="66"/>
      <c r="I41" s="67"/>
      <c r="J41" s="67"/>
      <c r="K41" s="68"/>
      <c r="L41" s="68"/>
      <c r="M41" s="68"/>
      <c r="N41" s="68"/>
      <c r="O41" s="68"/>
      <c r="P41" s="69"/>
    </row>
    <row r="42" spans="1:16" ht="19.5" x14ac:dyDescent="0.3">
      <c r="A42" s="70"/>
      <c r="B42" s="71" t="s">
        <v>25</v>
      </c>
      <c r="C42" s="70"/>
      <c r="D42" s="70"/>
      <c r="E42" s="70"/>
      <c r="F42" s="70"/>
      <c r="G42" s="72"/>
      <c r="H42" s="72"/>
      <c r="I42" s="73"/>
      <c r="J42" s="73"/>
      <c r="K42" s="74"/>
      <c r="L42" s="74"/>
      <c r="M42" s="74"/>
      <c r="N42" s="74"/>
      <c r="O42" s="74"/>
      <c r="P42" s="74"/>
    </row>
    <row r="43" spans="1:16" ht="12.75" hidden="1" x14ac:dyDescent="0.2">
      <c r="A43" s="15"/>
      <c r="B43" s="16"/>
      <c r="C43" s="16"/>
      <c r="D43" s="16"/>
      <c r="E43" s="16"/>
      <c r="F43" s="16"/>
      <c r="G43" s="17"/>
      <c r="H43" s="17"/>
      <c r="I43" s="18"/>
      <c r="J43" s="18"/>
      <c r="K43" s="19"/>
      <c r="L43" s="19"/>
      <c r="M43" s="19"/>
      <c r="N43" s="19"/>
      <c r="O43" s="19"/>
      <c r="P43" s="19"/>
    </row>
    <row r="44" spans="1:16" ht="19.5" x14ac:dyDescent="0.3">
      <c r="A44" s="75"/>
      <c r="B44" s="76"/>
      <c r="C44" s="77" t="s">
        <v>16</v>
      </c>
      <c r="D44" s="404" t="s">
        <v>17</v>
      </c>
      <c r="E44" s="76"/>
      <c r="F44" s="76"/>
      <c r="G44" s="79"/>
      <c r="H44" s="80" t="s">
        <v>12</v>
      </c>
      <c r="I44" s="81"/>
      <c r="J44" s="81"/>
      <c r="K44" s="82"/>
      <c r="L44" s="83">
        <f ca="1">L45+L46</f>
        <v>395350</v>
      </c>
      <c r="M44" s="83">
        <f ca="1">M45+M46</f>
        <v>395350</v>
      </c>
      <c r="N44" s="83">
        <f ca="1">N45+N46</f>
        <v>129850</v>
      </c>
      <c r="O44" s="83">
        <f ca="1">IF(L44&gt;0,N44*100/L44,0)</f>
        <v>32.84431516377893</v>
      </c>
      <c r="P44" s="83">
        <f ca="1">IF(M44&gt;0,N44*100/M44,0)</f>
        <v>32.84431516377893</v>
      </c>
    </row>
    <row r="45" spans="1:16" ht="18.75" hidden="1" x14ac:dyDescent="0.25">
      <c r="A45" s="75"/>
      <c r="B45" s="76"/>
      <c r="C45" s="76"/>
      <c r="D45" s="76"/>
      <c r="E45" s="84" t="s">
        <v>18</v>
      </c>
      <c r="F45" s="76"/>
      <c r="G45" s="79"/>
      <c r="H45" s="85" t="s">
        <v>12</v>
      </c>
      <c r="I45" s="81"/>
      <c r="J45" s="81"/>
      <c r="K45" s="82"/>
      <c r="L45" s="86">
        <f>L48+L51</f>
        <v>0</v>
      </c>
      <c r="M45" s="86">
        <f>M48+M51</f>
        <v>0</v>
      </c>
      <c r="N45" s="86">
        <f>N48+N51</f>
        <v>0</v>
      </c>
      <c r="O45" s="86">
        <f>IF(L45&gt;0,N45*100/L45,0)</f>
        <v>0</v>
      </c>
      <c r="P45" s="86">
        <f>IF(M45&gt;0,N45*100/M45,0)</f>
        <v>0</v>
      </c>
    </row>
    <row r="46" spans="1:16" ht="18.75" x14ac:dyDescent="0.25">
      <c r="A46" s="75"/>
      <c r="B46" s="76"/>
      <c r="C46" s="76"/>
      <c r="D46" s="76"/>
      <c r="E46" s="87" t="s">
        <v>19</v>
      </c>
      <c r="F46" s="76"/>
      <c r="G46" s="79"/>
      <c r="H46" s="88" t="s">
        <v>12</v>
      </c>
      <c r="I46" s="81"/>
      <c r="J46" s="81"/>
      <c r="K46" s="82"/>
      <c r="L46" s="89">
        <f ca="1">L49+L52</f>
        <v>395350</v>
      </c>
      <c r="M46" s="89">
        <f ca="1">M49+M52</f>
        <v>395350</v>
      </c>
      <c r="N46" s="89">
        <f ca="1">N49+N52</f>
        <v>129850</v>
      </c>
      <c r="O46" s="89">
        <f ca="1">IF(L46&gt;0,N46*100/L46,0)</f>
        <v>32.84431516377893</v>
      </c>
      <c r="P46" s="89">
        <f ca="1">IF(M46&gt;0,N46*100/M46,0)</f>
        <v>32.84431516377893</v>
      </c>
    </row>
    <row r="47" spans="1:16" ht="18.75" x14ac:dyDescent="0.25">
      <c r="A47" s="40"/>
      <c r="B47" s="41"/>
      <c r="C47" s="41"/>
      <c r="D47" s="42" t="s">
        <v>20</v>
      </c>
      <c r="E47" s="41"/>
      <c r="F47" s="41"/>
      <c r="G47" s="43"/>
      <c r="H47" s="44" t="s">
        <v>12</v>
      </c>
      <c r="I47" s="45"/>
      <c r="J47" s="45"/>
      <c r="K47" s="46"/>
      <c r="L47" s="47">
        <f ca="1">L48+L49</f>
        <v>395350</v>
      </c>
      <c r="M47" s="47">
        <f ca="1">M48+M49</f>
        <v>395350</v>
      </c>
      <c r="N47" s="47">
        <f ca="1">N48+N49</f>
        <v>129850</v>
      </c>
      <c r="O47" s="47">
        <f ca="1">IF(L47&gt;0,N47*100/L47,0)</f>
        <v>32.84431516377893</v>
      </c>
      <c r="P47" s="47">
        <f ca="1">IF(M47&gt;0,N47*100/M47,0)</f>
        <v>32.84431516377893</v>
      </c>
    </row>
    <row r="48" spans="1:16" ht="18.75" hidden="1" x14ac:dyDescent="0.25">
      <c r="A48" s="40"/>
      <c r="B48" s="41"/>
      <c r="C48" s="41"/>
      <c r="D48" s="41"/>
      <c r="E48" s="279" t="s">
        <v>18</v>
      </c>
      <c r="F48" s="41"/>
      <c r="G48" s="43"/>
      <c r="H48" s="49" t="s">
        <v>12</v>
      </c>
      <c r="I48" s="45"/>
      <c r="J48" s="45"/>
      <c r="K48" s="46"/>
      <c r="L48" s="50">
        <v>0</v>
      </c>
      <c r="M48" s="50">
        <v>0</v>
      </c>
      <c r="N48" s="50">
        <v>0</v>
      </c>
      <c r="O48" s="50">
        <f>IF(L48&gt;0,N48*100/L48,0)</f>
        <v>0</v>
      </c>
      <c r="P48" s="50">
        <f>IF(M48&gt;0,N48*100/M48,0)</f>
        <v>0</v>
      </c>
    </row>
    <row r="49" spans="1:16" ht="18.75" x14ac:dyDescent="0.25">
      <c r="A49" s="40"/>
      <c r="B49" s="41"/>
      <c r="C49" s="41"/>
      <c r="D49" s="41"/>
      <c r="E49" s="254" t="s">
        <v>19</v>
      </c>
      <c r="F49" s="41"/>
      <c r="G49" s="43"/>
      <c r="H49" s="44" t="s">
        <v>12</v>
      </c>
      <c r="I49" s="45"/>
      <c r="J49" s="45"/>
      <c r="K49" s="46"/>
      <c r="L49" s="47">
        <f ca="1">IFERROR(__xludf.DUMMYFUNCTION("IMPORTRANGE(""https://docs.google.com/spreadsheets/d/1-uDff_7J0KD5mKrp0Vvzr7lt3OU09vwQwhkpOPPYv2Y/edit?usp=sharing"",""งบพรบ!P19"")"),395350)</f>
        <v>395350</v>
      </c>
      <c r="M49" s="47">
        <f ca="1">IFERROR(__xludf.DUMMYFUNCTION("IMPORTRANGE(""https://docs.google.com/spreadsheets/d/1-uDff_7J0KD5mKrp0Vvzr7lt3OU09vwQwhkpOPPYv2Y/edit?usp=sharing"",""งบพรบ!V19"")"),395350)</f>
        <v>395350</v>
      </c>
      <c r="N49" s="47">
        <f ca="1">IFERROR(__xludf.DUMMYFUNCTION("IMPORTRANGE(""https://docs.google.com/spreadsheets/d/1-uDff_7J0KD5mKrp0Vvzr7lt3OU09vwQwhkpOPPYv2Y/edit?usp=sharing"",""งบพรบ!Y19"")"),129850)</f>
        <v>129850</v>
      </c>
      <c r="O49" s="47">
        <f ca="1">IF(L49&gt;0,N49*100/L49,0)</f>
        <v>32.84431516377893</v>
      </c>
      <c r="P49" s="47">
        <f ca="1">IF(M49&gt;0,N49*100/M49,0)</f>
        <v>32.84431516377893</v>
      </c>
    </row>
    <row r="50" spans="1:16" ht="18.75" x14ac:dyDescent="0.25">
      <c r="A50" s="40"/>
      <c r="B50" s="41"/>
      <c r="C50" s="41"/>
      <c r="D50" s="42" t="s">
        <v>21</v>
      </c>
      <c r="E50" s="41"/>
      <c r="F50" s="41"/>
      <c r="G50" s="43"/>
      <c r="H50" s="44" t="s">
        <v>12</v>
      </c>
      <c r="I50" s="45"/>
      <c r="J50" s="45"/>
      <c r="K50" s="46"/>
      <c r="L50" s="47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</row>
    <row r="51" spans="1:16" ht="18.75" hidden="1" x14ac:dyDescent="0.25">
      <c r="A51" s="40"/>
      <c r="B51" s="41"/>
      <c r="C51" s="41"/>
      <c r="D51" s="41"/>
      <c r="E51" s="279" t="s">
        <v>18</v>
      </c>
      <c r="F51" s="41"/>
      <c r="G51" s="43"/>
      <c r="H51" s="49" t="s">
        <v>12</v>
      </c>
      <c r="I51" s="45"/>
      <c r="J51" s="45"/>
      <c r="K51" s="46"/>
      <c r="L51" s="50">
        <v>0</v>
      </c>
      <c r="M51" s="50">
        <v>0</v>
      </c>
      <c r="N51" s="50">
        <v>0</v>
      </c>
      <c r="O51" s="50">
        <f>IF(L51&gt;0,N51*100/L51,0)</f>
        <v>0</v>
      </c>
      <c r="P51" s="50">
        <f>IF(M51&gt;0,N51*100/M51,0)</f>
        <v>0</v>
      </c>
    </row>
    <row r="52" spans="1:16" ht="18.75" x14ac:dyDescent="0.25">
      <c r="A52" s="40"/>
      <c r="B52" s="41"/>
      <c r="C52" s="41"/>
      <c r="D52" s="41"/>
      <c r="E52" s="254" t="s">
        <v>19</v>
      </c>
      <c r="F52" s="41"/>
      <c r="G52" s="43"/>
      <c r="H52" s="44" t="s">
        <v>12</v>
      </c>
      <c r="I52" s="45"/>
      <c r="J52" s="45"/>
      <c r="K52" s="46"/>
      <c r="L52" s="47">
        <f ca="1">IFERROR(__xludf.DUMMYFUNCTION("IMPORTRANGE(""https://docs.google.com/spreadsheets/d/1-uDff_7J0KD5mKrp0Vvzr7lt3OU09vwQwhkpOPPYv2Y/edit?usp=sharing"",""งบพรบ!S19"")"),0)</f>
        <v>0</v>
      </c>
      <c r="M52" s="47">
        <f ca="1">IFERROR(__xludf.DUMMYFUNCTION("IMPORTRANGE(""https://docs.google.com/spreadsheets/d/1-uDff_7J0KD5mKrp0Vvzr7lt3OU09vwQwhkpOPPYv2Y/edit?usp=sharing"",""งบพรบ!W19"")"),0)</f>
        <v>0</v>
      </c>
      <c r="N52" s="47">
        <f ca="1">IFERROR(__xludf.DUMMYFUNCTION("IMPORTRANGE(""https://docs.google.com/spreadsheets/d/1-uDff_7J0KD5mKrp0Vvzr7lt3OU09vwQwhkpOPPYv2Y/edit?usp=sharing"",""งบพรบ!Z19"")"),0)</f>
        <v>0</v>
      </c>
      <c r="O52" s="47">
        <f ca="1">IF(L52&gt;0,N52*100/L52,0)</f>
        <v>0</v>
      </c>
      <c r="P52" s="47">
        <f ca="1">IF(M52&gt;0,N52*100/M52,0)</f>
        <v>0</v>
      </c>
    </row>
    <row r="53" spans="1:16" ht="18.75" hidden="1" x14ac:dyDescent="0.25">
      <c r="A53" s="40"/>
      <c r="B53" s="41"/>
      <c r="C53" s="41"/>
      <c r="D53" s="42" t="s">
        <v>22</v>
      </c>
      <c r="E53" s="41"/>
      <c r="F53" s="41"/>
      <c r="G53" s="43"/>
      <c r="H53" s="44" t="s">
        <v>12</v>
      </c>
      <c r="I53" s="45"/>
      <c r="J53" s="45"/>
      <c r="K53" s="46"/>
      <c r="L53" s="47"/>
      <c r="M53" s="47"/>
      <c r="N53" s="47"/>
      <c r="O53" s="47"/>
      <c r="P53" s="47"/>
    </row>
    <row r="54" spans="1:16" ht="18.75" hidden="1" x14ac:dyDescent="0.25">
      <c r="A54" s="40"/>
      <c r="B54" s="41"/>
      <c r="C54" s="41"/>
      <c r="D54" s="41"/>
      <c r="E54" s="279" t="s">
        <v>18</v>
      </c>
      <c r="F54" s="41"/>
      <c r="G54" s="43"/>
      <c r="H54" s="49" t="s">
        <v>12</v>
      </c>
      <c r="I54" s="45"/>
      <c r="J54" s="45"/>
      <c r="K54" s="46"/>
      <c r="L54" s="50"/>
      <c r="M54" s="50"/>
      <c r="N54" s="50"/>
      <c r="O54" s="50"/>
      <c r="P54" s="50"/>
    </row>
    <row r="55" spans="1:16" ht="18.75" hidden="1" x14ac:dyDescent="0.25">
      <c r="A55" s="52"/>
      <c r="B55" s="1"/>
      <c r="C55" s="1"/>
      <c r="D55" s="1"/>
      <c r="E55" s="53" t="s">
        <v>19</v>
      </c>
      <c r="F55" s="1"/>
      <c r="G55" s="54"/>
      <c r="H55" s="55" t="s">
        <v>12</v>
      </c>
      <c r="I55" s="56"/>
      <c r="J55" s="56"/>
      <c r="K55" s="57"/>
      <c r="L55" s="58"/>
      <c r="M55" s="58"/>
      <c r="N55" s="58"/>
      <c r="O55" s="58"/>
      <c r="P55" s="58"/>
    </row>
    <row r="56" spans="1:16" ht="19.5" x14ac:dyDescent="0.3">
      <c r="A56" s="382" t="s">
        <v>26</v>
      </c>
      <c r="B56" s="379"/>
      <c r="C56" s="379"/>
      <c r="D56" s="379"/>
      <c r="E56" s="379"/>
      <c r="F56" s="379"/>
      <c r="G56" s="380"/>
      <c r="H56" s="90"/>
      <c r="I56" s="91"/>
      <c r="J56" s="91"/>
      <c r="K56" s="92"/>
      <c r="L56" s="92"/>
      <c r="M56" s="92"/>
      <c r="N56" s="92"/>
      <c r="O56" s="92"/>
      <c r="P56" s="93"/>
    </row>
    <row r="57" spans="1:16" ht="19.5" x14ac:dyDescent="0.3">
      <c r="A57" s="94"/>
      <c r="B57" s="383" t="s">
        <v>27</v>
      </c>
      <c r="C57" s="384"/>
      <c r="D57" s="384"/>
      <c r="E57" s="384"/>
      <c r="F57" s="384"/>
      <c r="G57" s="385"/>
      <c r="H57" s="95"/>
      <c r="I57" s="96"/>
      <c r="J57" s="96"/>
      <c r="K57" s="97"/>
      <c r="L57" s="97"/>
      <c r="M57" s="97"/>
      <c r="N57" s="97"/>
      <c r="O57" s="97"/>
      <c r="P57" s="97"/>
    </row>
    <row r="58" spans="1:16" ht="19.5" x14ac:dyDescent="0.3">
      <c r="A58" s="98"/>
      <c r="B58" s="99" t="s">
        <v>28</v>
      </c>
      <c r="C58" s="100"/>
      <c r="D58" s="100"/>
      <c r="E58" s="100"/>
      <c r="F58" s="100"/>
      <c r="G58" s="101"/>
      <c r="H58" s="101"/>
      <c r="I58" s="102"/>
      <c r="J58" s="102"/>
      <c r="K58" s="103"/>
      <c r="L58" s="103"/>
      <c r="M58" s="103"/>
      <c r="N58" s="103"/>
      <c r="O58" s="103"/>
      <c r="P58" s="103"/>
    </row>
    <row r="59" spans="1:16" ht="19.5" x14ac:dyDescent="0.3">
      <c r="A59" s="104"/>
      <c r="B59" s="105"/>
      <c r="C59" s="106" t="s">
        <v>16</v>
      </c>
      <c r="D59" s="403" t="s">
        <v>17</v>
      </c>
      <c r="E59" s="105"/>
      <c r="F59" s="105"/>
      <c r="G59" s="108"/>
      <c r="H59" s="109" t="s">
        <v>12</v>
      </c>
      <c r="I59" s="110"/>
      <c r="J59" s="110"/>
      <c r="K59" s="111"/>
      <c r="L59" s="112">
        <f ca="1">L60+L61</f>
        <v>503200</v>
      </c>
      <c r="M59" s="112">
        <f ca="1">M60+M61</f>
        <v>379450</v>
      </c>
      <c r="N59" s="112">
        <f ca="1">N60+N61</f>
        <v>200015.1</v>
      </c>
      <c r="O59" s="112">
        <f ca="1">IF(L59&gt;0,N59*100/L59,0)</f>
        <v>39.748628775834661</v>
      </c>
      <c r="P59" s="112">
        <f ca="1">IF(M59&gt;0,N59*100/M59,0)</f>
        <v>52.711846093029386</v>
      </c>
    </row>
    <row r="60" spans="1:16" ht="18.75" hidden="1" x14ac:dyDescent="0.25">
      <c r="A60" s="104"/>
      <c r="B60" s="105"/>
      <c r="C60" s="105"/>
      <c r="D60" s="105"/>
      <c r="E60" s="113" t="s">
        <v>18</v>
      </c>
      <c r="F60" s="105"/>
      <c r="G60" s="108"/>
      <c r="H60" s="114" t="s">
        <v>12</v>
      </c>
      <c r="I60" s="110"/>
      <c r="J60" s="110"/>
      <c r="K60" s="111"/>
      <c r="L60" s="115">
        <f>L63+L66</f>
        <v>0</v>
      </c>
      <c r="M60" s="115">
        <f>M63+M66</f>
        <v>0</v>
      </c>
      <c r="N60" s="115">
        <f>N63+N66</f>
        <v>0</v>
      </c>
      <c r="O60" s="115">
        <f>IF(L60&gt;0,N60*100/L60,0)</f>
        <v>0</v>
      </c>
      <c r="P60" s="115">
        <f>IF(M60&gt;0,N60*100/M60,0)</f>
        <v>0</v>
      </c>
    </row>
    <row r="61" spans="1:16" ht="18.75" x14ac:dyDescent="0.25">
      <c r="A61" s="104"/>
      <c r="B61" s="105"/>
      <c r="C61" s="105"/>
      <c r="D61" s="105"/>
      <c r="E61" s="116" t="s">
        <v>19</v>
      </c>
      <c r="F61" s="105"/>
      <c r="G61" s="108"/>
      <c r="H61" s="117" t="s">
        <v>12</v>
      </c>
      <c r="I61" s="110"/>
      <c r="J61" s="110"/>
      <c r="K61" s="111"/>
      <c r="L61" s="118">
        <f ca="1">L64+L67</f>
        <v>503200</v>
      </c>
      <c r="M61" s="118">
        <f ca="1">M64+M67</f>
        <v>379450</v>
      </c>
      <c r="N61" s="118">
        <f ca="1">N64+N67</f>
        <v>200015.1</v>
      </c>
      <c r="O61" s="118">
        <f ca="1">IF(L61&gt;0,N61*100/L61,0)</f>
        <v>39.748628775834661</v>
      </c>
      <c r="P61" s="118">
        <f ca="1">IF(M61&gt;0,N61*100/M61,0)</f>
        <v>52.711846093029386</v>
      </c>
    </row>
    <row r="62" spans="1:16" ht="18.75" x14ac:dyDescent="0.25">
      <c r="A62" s="40"/>
      <c r="B62" s="41"/>
      <c r="C62" s="41"/>
      <c r="D62" s="42" t="s">
        <v>20</v>
      </c>
      <c r="E62" s="41"/>
      <c r="F62" s="41"/>
      <c r="G62" s="43"/>
      <c r="H62" s="44" t="s">
        <v>12</v>
      </c>
      <c r="I62" s="45"/>
      <c r="J62" s="45"/>
      <c r="K62" s="46"/>
      <c r="L62" s="47">
        <f ca="1">L63+L64</f>
        <v>503200</v>
      </c>
      <c r="M62" s="47">
        <f ca="1">M63+M64</f>
        <v>379450</v>
      </c>
      <c r="N62" s="47">
        <f ca="1">N63+N64</f>
        <v>200015.1</v>
      </c>
      <c r="O62" s="47">
        <f ca="1">IF(L62&gt;0,N62*100/L62,0)</f>
        <v>39.748628775834661</v>
      </c>
      <c r="P62" s="47">
        <f ca="1">IF(M62&gt;0,N62*100/M62,0)</f>
        <v>52.711846093029386</v>
      </c>
    </row>
    <row r="63" spans="1:16" ht="18.75" hidden="1" x14ac:dyDescent="0.25">
      <c r="A63" s="40"/>
      <c r="B63" s="41"/>
      <c r="C63" s="41"/>
      <c r="D63" s="41"/>
      <c r="E63" s="279" t="s">
        <v>18</v>
      </c>
      <c r="F63" s="41"/>
      <c r="G63" s="43"/>
      <c r="H63" s="49" t="s">
        <v>12</v>
      </c>
      <c r="I63" s="45"/>
      <c r="J63" s="45"/>
      <c r="K63" s="46"/>
      <c r="L63" s="50">
        <v>0</v>
      </c>
      <c r="M63" s="50">
        <v>0</v>
      </c>
      <c r="N63" s="50">
        <v>0</v>
      </c>
      <c r="O63" s="50">
        <f>IF(L63&gt;0,N63*100/L63,0)</f>
        <v>0</v>
      </c>
      <c r="P63" s="50">
        <f>IF(M63&gt;0,N63*100/M63,0)</f>
        <v>0</v>
      </c>
    </row>
    <row r="64" spans="1:16" ht="18.75" x14ac:dyDescent="0.25">
      <c r="A64" s="40"/>
      <c r="B64" s="41"/>
      <c r="C64" s="41"/>
      <c r="D64" s="41"/>
      <c r="E64" s="254" t="s">
        <v>19</v>
      </c>
      <c r="F64" s="41"/>
      <c r="G64" s="43"/>
      <c r="H64" s="44" t="s">
        <v>12</v>
      </c>
      <c r="I64" s="45"/>
      <c r="J64" s="45"/>
      <c r="K64" s="46"/>
      <c r="L64" s="47">
        <f ca="1">IFERROR(__xludf.DUMMYFUNCTION("IMPORTRANGE(""https://docs.google.com/spreadsheets/d/1-uDff_7J0KD5mKrp0Vvzr7lt3OU09vwQwhkpOPPYv2Y/edit?usp=sharing"",""งบพรบ!AC19"")"),503200)</f>
        <v>503200</v>
      </c>
      <c r="M64" s="47">
        <f ca="1">IFERROR(__xludf.DUMMYFUNCTION("IMPORTRANGE(""https://docs.google.com/spreadsheets/d/1-uDff_7J0KD5mKrp0Vvzr7lt3OU09vwQwhkpOPPYv2Y/edit?usp=sharing"",""งบพรบ!AH19"")"),379450)</f>
        <v>379450</v>
      </c>
      <c r="N64" s="47">
        <f ca="1">IFERROR(__xludf.DUMMYFUNCTION("IMPORTRANGE(""https://docs.google.com/spreadsheets/d/1-uDff_7J0KD5mKrp0Vvzr7lt3OU09vwQwhkpOPPYv2Y/edit?usp=sharing"",""งบพรบ!AJ19"")"),200015.1)</f>
        <v>200015.1</v>
      </c>
      <c r="O64" s="47">
        <f ca="1">IF(L64&gt;0,N64*100/L64,0)</f>
        <v>39.748628775834661</v>
      </c>
      <c r="P64" s="47">
        <f ca="1">IF(M64&gt;0,N64*100/M64,0)</f>
        <v>52.711846093029386</v>
      </c>
    </row>
    <row r="65" spans="1:16" ht="18.75" x14ac:dyDescent="0.25">
      <c r="A65" s="40"/>
      <c r="B65" s="41"/>
      <c r="C65" s="41"/>
      <c r="D65" s="42" t="s">
        <v>21</v>
      </c>
      <c r="E65" s="41"/>
      <c r="F65" s="41"/>
      <c r="G65" s="43"/>
      <c r="H65" s="44" t="s">
        <v>12</v>
      </c>
      <c r="I65" s="45"/>
      <c r="J65" s="45"/>
      <c r="K65" s="46"/>
      <c r="L65" s="47">
        <f ca="1">L66+L67</f>
        <v>0</v>
      </c>
      <c r="M65" s="47">
        <f ca="1">M66+M67</f>
        <v>0</v>
      </c>
      <c r="N65" s="47">
        <f ca="1">N66+N67</f>
        <v>0</v>
      </c>
      <c r="O65" s="47">
        <f ca="1">IF(L65&gt;0,N65*100/L65,0)</f>
        <v>0</v>
      </c>
      <c r="P65" s="47">
        <f ca="1">IF(M65&gt;0,N65*100/M65,0)</f>
        <v>0</v>
      </c>
    </row>
    <row r="66" spans="1:16" ht="18.75" hidden="1" x14ac:dyDescent="0.25">
      <c r="A66" s="40"/>
      <c r="B66" s="41"/>
      <c r="C66" s="41"/>
      <c r="D66" s="41"/>
      <c r="E66" s="279" t="s">
        <v>18</v>
      </c>
      <c r="F66" s="41"/>
      <c r="G66" s="43"/>
      <c r="H66" s="49" t="s">
        <v>12</v>
      </c>
      <c r="I66" s="45"/>
      <c r="J66" s="45"/>
      <c r="K66" s="46"/>
      <c r="L66" s="50">
        <v>0</v>
      </c>
      <c r="M66" s="50">
        <v>0</v>
      </c>
      <c r="N66" s="50">
        <v>0</v>
      </c>
      <c r="O66" s="50">
        <f>IF(L66&gt;0,N66*100/L66,0)</f>
        <v>0</v>
      </c>
      <c r="P66" s="50">
        <f>IF(M66&gt;0,N66*100/M66,0)</f>
        <v>0</v>
      </c>
    </row>
    <row r="67" spans="1:16" ht="18.75" x14ac:dyDescent="0.25">
      <c r="A67" s="52"/>
      <c r="B67" s="1"/>
      <c r="C67" s="1"/>
      <c r="D67" s="1"/>
      <c r="E67" s="53" t="s">
        <v>19</v>
      </c>
      <c r="F67" s="1"/>
      <c r="G67" s="54"/>
      <c r="H67" s="55" t="s">
        <v>12</v>
      </c>
      <c r="I67" s="56"/>
      <c r="J67" s="56"/>
      <c r="K67" s="57"/>
      <c r="L67" s="58">
        <f ca="1">IFERROR(__xludf.DUMMYFUNCTION("IMPORTRANGE(""https://docs.google.com/spreadsheets/d/1-uDff_7J0KD5mKrp0Vvzr7lt3OU09vwQwhkpOPPYv2Y/edit?usp=sharing"",""งบพรบ!AF19"")"),0)</f>
        <v>0</v>
      </c>
      <c r="M67" s="58">
        <f ca="1">IFERROR(__xludf.DUMMYFUNCTION("IMPORTRANGE(""https://docs.google.com/spreadsheets/d/1-uDff_7J0KD5mKrp0Vvzr7lt3OU09vwQwhkpOPPYv2Y/edit?usp=sharing"",""งบพรบ!AI19"")"),0)</f>
        <v>0</v>
      </c>
      <c r="N67" s="58">
        <f ca="1">IFERROR(__xludf.DUMMYFUNCTION("IMPORTRANGE(""https://docs.google.com/spreadsheets/d/1-uDff_7J0KD5mKrp0Vvzr7lt3OU09vwQwhkpOPPYv2Y/edit?usp=sharing"",""งบพรบ!AK19"")"),0)</f>
        <v>0</v>
      </c>
      <c r="O67" s="58">
        <f ca="1">IF(L67&gt;0,N67*100/L67,0)</f>
        <v>0</v>
      </c>
      <c r="P67" s="58">
        <f ca="1">IF(M67&gt;0,N67*100/M67,0)</f>
        <v>0</v>
      </c>
    </row>
    <row r="68" spans="1:16" ht="19.5" hidden="1" x14ac:dyDescent="0.3">
      <c r="A68" s="119" t="s">
        <v>29</v>
      </c>
      <c r="B68" s="120"/>
      <c r="C68" s="120"/>
      <c r="D68" s="120"/>
      <c r="E68" s="121"/>
      <c r="F68" s="121"/>
      <c r="G68" s="121"/>
      <c r="H68" s="121"/>
      <c r="I68" s="122"/>
      <c r="J68" s="122"/>
      <c r="K68" s="123"/>
      <c r="L68" s="123"/>
      <c r="M68" s="123"/>
      <c r="N68" s="123"/>
      <c r="O68" s="123"/>
      <c r="P68" s="124"/>
    </row>
    <row r="69" spans="1:16" ht="19.5" hidden="1" x14ac:dyDescent="0.3">
      <c r="A69" s="125" t="s">
        <v>30</v>
      </c>
      <c r="B69" s="126"/>
      <c r="C69" s="127"/>
      <c r="D69" s="126"/>
      <c r="E69" s="126"/>
      <c r="F69" s="126"/>
      <c r="G69" s="128"/>
      <c r="H69" s="128"/>
      <c r="I69" s="129"/>
      <c r="J69" s="129"/>
      <c r="K69" s="130"/>
      <c r="L69" s="130"/>
      <c r="M69" s="130"/>
      <c r="N69" s="130"/>
      <c r="O69" s="130"/>
      <c r="P69" s="130"/>
    </row>
    <row r="70" spans="1:16" ht="19.5" hidden="1" x14ac:dyDescent="0.3">
      <c r="A70" s="131"/>
      <c r="B70" s="132" t="s">
        <v>31</v>
      </c>
      <c r="C70" s="26"/>
      <c r="D70" s="133"/>
      <c r="E70" s="26"/>
      <c r="F70" s="26"/>
      <c r="G70" s="29"/>
      <c r="H70" s="134" t="s">
        <v>32</v>
      </c>
      <c r="I70" s="135">
        <f ca="1">I82</f>
        <v>0</v>
      </c>
      <c r="J70" s="135">
        <f>J82</f>
        <v>0</v>
      </c>
      <c r="K70" s="33">
        <f ca="1">IF(I70&gt;0,J70*100/I70,0)</f>
        <v>0</v>
      </c>
      <c r="L70" s="32"/>
      <c r="M70" s="32"/>
      <c r="N70" s="32"/>
      <c r="O70" s="32"/>
      <c r="P70" s="32"/>
    </row>
    <row r="71" spans="1:16" ht="19.5" hidden="1" x14ac:dyDescent="0.3">
      <c r="A71" s="131"/>
      <c r="B71" s="26"/>
      <c r="C71" s="26"/>
      <c r="D71" s="133"/>
      <c r="E71" s="26"/>
      <c r="F71" s="26"/>
      <c r="G71" s="29"/>
      <c r="H71" s="134" t="s">
        <v>33</v>
      </c>
      <c r="I71" s="135">
        <f ca="1">I83</f>
        <v>0</v>
      </c>
      <c r="J71" s="135">
        <f>J83</f>
        <v>0</v>
      </c>
      <c r="K71" s="33">
        <f ca="1">IF(I71&gt;0,J71*100/I71,0)</f>
        <v>0</v>
      </c>
      <c r="L71" s="32"/>
      <c r="M71" s="32"/>
      <c r="N71" s="32"/>
      <c r="O71" s="32"/>
      <c r="P71" s="32"/>
    </row>
    <row r="72" spans="1:16" ht="19.5" hidden="1" x14ac:dyDescent="0.3">
      <c r="A72" s="136"/>
      <c r="B72" s="41"/>
      <c r="C72" s="197" t="s">
        <v>16</v>
      </c>
      <c r="D72" s="397" t="s">
        <v>17</v>
      </c>
      <c r="E72" s="41"/>
      <c r="F72" s="41"/>
      <c r="G72" s="43"/>
      <c r="H72" s="139" t="s">
        <v>12</v>
      </c>
      <c r="I72" s="45"/>
      <c r="J72" s="45"/>
      <c r="K72" s="46"/>
      <c r="L72" s="140">
        <f ca="1">L73+L74</f>
        <v>0</v>
      </c>
      <c r="M72" s="140">
        <f ca="1">M73+M74</f>
        <v>0</v>
      </c>
      <c r="N72" s="140">
        <f ca="1">N73+N74</f>
        <v>0</v>
      </c>
      <c r="O72" s="140">
        <f ca="1">IF(L72&gt;0,N72*100/L72,0)</f>
        <v>0</v>
      </c>
      <c r="P72" s="140">
        <f ca="1">IF(M72&gt;0,N72*100/M72,0)</f>
        <v>0</v>
      </c>
    </row>
    <row r="73" spans="1:16" ht="18.75" hidden="1" x14ac:dyDescent="0.25">
      <c r="A73" s="136"/>
      <c r="B73" s="41"/>
      <c r="C73" s="41"/>
      <c r="D73" s="41"/>
      <c r="E73" s="279" t="s">
        <v>18</v>
      </c>
      <c r="F73" s="41"/>
      <c r="G73" s="43"/>
      <c r="H73" s="141" t="s">
        <v>12</v>
      </c>
      <c r="I73" s="45"/>
      <c r="J73" s="45"/>
      <c r="K73" s="46"/>
      <c r="L73" s="50">
        <f>L76+L79</f>
        <v>0</v>
      </c>
      <c r="M73" s="50">
        <f>M76+M79</f>
        <v>0</v>
      </c>
      <c r="N73" s="50">
        <f>N76+N79</f>
        <v>0</v>
      </c>
      <c r="O73" s="50">
        <f>IF(L73&gt;0,N73*100/L73,0)</f>
        <v>0</v>
      </c>
      <c r="P73" s="50">
        <f>IF(M73&gt;0,N73*100/M73,0)</f>
        <v>0</v>
      </c>
    </row>
    <row r="74" spans="1:16" ht="18.75" hidden="1" x14ac:dyDescent="0.25">
      <c r="A74" s="136"/>
      <c r="B74" s="41"/>
      <c r="C74" s="41"/>
      <c r="D74" s="41"/>
      <c r="E74" s="254" t="s">
        <v>19</v>
      </c>
      <c r="F74" s="41"/>
      <c r="G74" s="43"/>
      <c r="H74" s="142" t="s">
        <v>12</v>
      </c>
      <c r="I74" s="45"/>
      <c r="J74" s="45"/>
      <c r="K74" s="46"/>
      <c r="L74" s="47">
        <f ca="1">L77+L80</f>
        <v>0</v>
      </c>
      <c r="M74" s="47">
        <f ca="1">M77+M80</f>
        <v>0</v>
      </c>
      <c r="N74" s="47">
        <f ca="1">N77+N80</f>
        <v>0</v>
      </c>
      <c r="O74" s="47">
        <f ca="1">IF(L74&gt;0,N74*100/L74,0)</f>
        <v>0</v>
      </c>
      <c r="P74" s="47">
        <f ca="1">IF(M74&gt;0,N74*100/M74,0)</f>
        <v>0</v>
      </c>
    </row>
    <row r="75" spans="1:16" ht="18.75" hidden="1" x14ac:dyDescent="0.25">
      <c r="A75" s="136"/>
      <c r="B75" s="41"/>
      <c r="C75" s="41"/>
      <c r="D75" s="42" t="s">
        <v>20</v>
      </c>
      <c r="E75" s="41"/>
      <c r="F75" s="41"/>
      <c r="G75" s="43"/>
      <c r="H75" s="143" t="s">
        <v>12</v>
      </c>
      <c r="I75" s="144"/>
      <c r="J75" s="144"/>
      <c r="K75" s="145"/>
      <c r="L75" s="47">
        <f ca="1">L76+L77</f>
        <v>0</v>
      </c>
      <c r="M75" s="47">
        <f ca="1">M76+M77</f>
        <v>0</v>
      </c>
      <c r="N75" s="47">
        <f ca="1">N76+N77</f>
        <v>0</v>
      </c>
      <c r="O75" s="47">
        <f ca="1">IF(L75&gt;0,N75*100/L75,0)</f>
        <v>0</v>
      </c>
      <c r="P75" s="47">
        <f ca="1">IF(M75&gt;0,N75*100/M75,0)</f>
        <v>0</v>
      </c>
    </row>
    <row r="76" spans="1:16" ht="18.75" hidden="1" x14ac:dyDescent="0.25">
      <c r="A76" s="136"/>
      <c r="B76" s="41"/>
      <c r="C76" s="41"/>
      <c r="D76" s="41"/>
      <c r="E76" s="279" t="s">
        <v>34</v>
      </c>
      <c r="F76" s="41"/>
      <c r="G76" s="43"/>
      <c r="H76" s="146" t="s">
        <v>12</v>
      </c>
      <c r="I76" s="144"/>
      <c r="J76" s="144"/>
      <c r="K76" s="145"/>
      <c r="L76" s="50">
        <v>0</v>
      </c>
      <c r="M76" s="50">
        <v>0</v>
      </c>
      <c r="N76" s="50">
        <v>0</v>
      </c>
      <c r="O76" s="50">
        <f>IF(L76&gt;0,N76*100/L76,0)</f>
        <v>0</v>
      </c>
      <c r="P76" s="50">
        <f>IF(M76&gt;0,N76*100/M76,0)</f>
        <v>0</v>
      </c>
    </row>
    <row r="77" spans="1:16" ht="18.75" hidden="1" x14ac:dyDescent="0.25">
      <c r="A77" s="136"/>
      <c r="B77" s="41"/>
      <c r="C77" s="41"/>
      <c r="D77" s="41"/>
      <c r="E77" s="254" t="s">
        <v>35</v>
      </c>
      <c r="F77" s="41"/>
      <c r="G77" s="43"/>
      <c r="H77" s="143" t="s">
        <v>12</v>
      </c>
      <c r="I77" s="144"/>
      <c r="J77" s="144"/>
      <c r="K77" s="145"/>
      <c r="L77" s="47">
        <f ca="1">IFERROR(__xludf.DUMMYFUNCTION("IMPORTRANGE(""https://docs.google.com/spreadsheets/d/1-uDff_7J0KD5mKrp0Vvzr7lt3OU09vwQwhkpOPPYv2Y/edit?usp=sharing"",""งบพรบ!AM19"")"),0)</f>
        <v>0</v>
      </c>
      <c r="M77" s="47">
        <f ca="1">IFERROR(__xludf.DUMMYFUNCTION("IMPORTRANGE(""https://docs.google.com/spreadsheets/d/1-uDff_7J0KD5mKrp0Vvzr7lt3OU09vwQwhkpOPPYv2Y/edit?usp=sharing"",""งบพรบ!AR19"")"),0)</f>
        <v>0</v>
      </c>
      <c r="N77" s="47">
        <f ca="1">IFERROR(__xludf.DUMMYFUNCTION("IMPORTRANGE(""https://docs.google.com/spreadsheets/d/1-uDff_7J0KD5mKrp0Vvzr7lt3OU09vwQwhkpOPPYv2Y/edit?usp=sharing"",""งบพรบ!AT19"")"),0)</f>
        <v>0</v>
      </c>
      <c r="O77" s="47">
        <f ca="1">IF(L77&gt;0,N77*100/L77,0)</f>
        <v>0</v>
      </c>
      <c r="P77" s="47">
        <f ca="1">IF(M77&gt;0,N77*100/M77,0)</f>
        <v>0</v>
      </c>
    </row>
    <row r="78" spans="1:16" ht="18.75" hidden="1" x14ac:dyDescent="0.25">
      <c r="A78" s="136"/>
      <c r="B78" s="41"/>
      <c r="C78" s="41"/>
      <c r="D78" s="42" t="s">
        <v>21</v>
      </c>
      <c r="E78" s="41"/>
      <c r="F78" s="41"/>
      <c r="G78" s="43"/>
      <c r="H78" s="147" t="s">
        <v>12</v>
      </c>
      <c r="I78" s="144"/>
      <c r="J78" s="144"/>
      <c r="K78" s="145"/>
      <c r="L78" s="47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</row>
    <row r="79" spans="1:16" ht="18.75" hidden="1" x14ac:dyDescent="0.25">
      <c r="A79" s="136"/>
      <c r="B79" s="41"/>
      <c r="C79" s="41"/>
      <c r="D79" s="41"/>
      <c r="E79" s="279" t="s">
        <v>18</v>
      </c>
      <c r="F79" s="41"/>
      <c r="G79" s="43"/>
      <c r="H79" s="146" t="s">
        <v>12</v>
      </c>
      <c r="I79" s="144"/>
      <c r="J79" s="144"/>
      <c r="K79" s="145"/>
      <c r="L79" s="50">
        <v>0</v>
      </c>
      <c r="M79" s="46"/>
      <c r="N79" s="46"/>
      <c r="O79" s="50">
        <f>IF(L79&gt;0,N79*100/L79,0)</f>
        <v>0</v>
      </c>
      <c r="P79" s="50">
        <f>IF(M79&gt;0,N79*100/M79,0)</f>
        <v>0</v>
      </c>
    </row>
    <row r="80" spans="1:16" ht="18.75" hidden="1" x14ac:dyDescent="0.25">
      <c r="A80" s="136"/>
      <c r="B80" s="41"/>
      <c r="C80" s="41"/>
      <c r="D80" s="41"/>
      <c r="E80" s="254" t="s">
        <v>19</v>
      </c>
      <c r="F80" s="41"/>
      <c r="G80" s="43"/>
      <c r="H80" s="147" t="s">
        <v>12</v>
      </c>
      <c r="I80" s="144"/>
      <c r="J80" s="144"/>
      <c r="K80" s="145"/>
      <c r="L80" s="47">
        <f ca="1">IFERROR(__xludf.DUMMYFUNCTION("IMPORTRANGE(""https://docs.google.com/spreadsheets/d/1-uDff_7J0KD5mKrp0Vvzr7lt3OU09vwQwhkpOPPYv2Y/edit?usp=sharing"",""งบพรบ!AP19"")"),0)</f>
        <v>0</v>
      </c>
      <c r="M80" s="47">
        <f ca="1">IFERROR(__xludf.DUMMYFUNCTION("IMPORTRANGE(""https://docs.google.com/spreadsheets/d/1-uDff_7J0KD5mKrp0Vvzr7lt3OU09vwQwhkpOPPYv2Y/edit?usp=sharing"",""งบพรบ!AS19"")"),0)</f>
        <v>0</v>
      </c>
      <c r="N80" s="47">
        <f ca="1">IFERROR(__xludf.DUMMYFUNCTION("IMPORTRANGE(""https://docs.google.com/spreadsheets/d/1-uDff_7J0KD5mKrp0Vvzr7lt3OU09vwQwhkpOPPYv2Y/edit?usp=sharing"",""งบพรบ!AU19"")"),0)</f>
        <v>0</v>
      </c>
      <c r="O80" s="47">
        <f ca="1">IF(L80&gt;0,N80*100/L80,0)</f>
        <v>0</v>
      </c>
      <c r="P80" s="47">
        <f ca="1">IF(M80&gt;0,N80*100/M80,0)</f>
        <v>0</v>
      </c>
    </row>
    <row r="81" spans="1:16" ht="19.5" hidden="1" x14ac:dyDescent="0.3">
      <c r="A81" s="148"/>
      <c r="B81" s="149"/>
      <c r="C81" s="197" t="s">
        <v>16</v>
      </c>
      <c r="D81" s="395" t="s">
        <v>36</v>
      </c>
      <c r="E81" s="151"/>
      <c r="F81" s="151"/>
      <c r="G81" s="152"/>
      <c r="H81" s="153"/>
      <c r="I81" s="144"/>
      <c r="J81" s="144"/>
      <c r="K81" s="145"/>
      <c r="L81" s="145"/>
      <c r="M81" s="145"/>
      <c r="N81" s="145"/>
      <c r="O81" s="145"/>
      <c r="P81" s="145"/>
    </row>
    <row r="82" spans="1:16" ht="19.5" hidden="1" x14ac:dyDescent="0.3">
      <c r="A82" s="148"/>
      <c r="B82" s="149"/>
      <c r="C82" s="149"/>
      <c r="D82" s="154" t="s">
        <v>37</v>
      </c>
      <c r="E82" s="155"/>
      <c r="F82" s="155"/>
      <c r="G82" s="153"/>
      <c r="H82" s="156" t="s">
        <v>32</v>
      </c>
      <c r="I82" s="157">
        <f ca="1">I84+I86+I88</f>
        <v>0</v>
      </c>
      <c r="J82" s="157">
        <f>J84+J86+J88</f>
        <v>0</v>
      </c>
      <c r="K82" s="158">
        <f ca="1">IF(I82&gt;0,J82*100/I82,0)</f>
        <v>0</v>
      </c>
      <c r="L82" s="145"/>
      <c r="M82" s="145"/>
      <c r="N82" s="145"/>
      <c r="O82" s="145"/>
      <c r="P82" s="145"/>
    </row>
    <row r="83" spans="1:16" ht="19.5" hidden="1" x14ac:dyDescent="0.3">
      <c r="A83" s="148"/>
      <c r="B83" s="149"/>
      <c r="C83" s="149"/>
      <c r="D83" s="149"/>
      <c r="E83" s="155"/>
      <c r="F83" s="155"/>
      <c r="G83" s="153"/>
      <c r="H83" s="156" t="s">
        <v>33</v>
      </c>
      <c r="I83" s="157">
        <f ca="1">I85+I87+I89</f>
        <v>0</v>
      </c>
      <c r="J83" s="157">
        <f>J85+J87+J89</f>
        <v>0</v>
      </c>
      <c r="K83" s="158">
        <f ca="1">IF(I83&gt;0,J83*100/I83,0)</f>
        <v>0</v>
      </c>
      <c r="L83" s="145"/>
      <c r="M83" s="145"/>
      <c r="N83" s="145"/>
      <c r="O83" s="145"/>
      <c r="P83" s="145"/>
    </row>
    <row r="84" spans="1:16" ht="18.75" hidden="1" x14ac:dyDescent="0.25">
      <c r="A84" s="148"/>
      <c r="B84" s="149"/>
      <c r="C84" s="149"/>
      <c r="D84" s="149"/>
      <c r="E84" s="159" t="s">
        <v>38</v>
      </c>
      <c r="F84" s="155"/>
      <c r="G84" s="153"/>
      <c r="H84" s="251" t="s">
        <v>32</v>
      </c>
      <c r="I84" s="161">
        <f ca="1">IFERROR(__xludf.DUMMYFUNCTION("IMPORTRANGE(""https://docs.google.com/spreadsheets/d/1eHaY18a8A9IcSdp1K8H6x8fbOy06t2VsZHhMHf-1x7Y/edit?usp=sharing"",""แผน!H19"")"),0)</f>
        <v>0</v>
      </c>
      <c r="J84" s="250">
        <v>0</v>
      </c>
      <c r="K84" s="163">
        <f ca="1">IF(I84&gt;0,J84*100/I84,0)</f>
        <v>0</v>
      </c>
      <c r="L84" s="145"/>
      <c r="M84" s="145"/>
      <c r="N84" s="145"/>
      <c r="O84" s="145"/>
      <c r="P84" s="145"/>
    </row>
    <row r="85" spans="1:16" ht="18.75" hidden="1" x14ac:dyDescent="0.25">
      <c r="A85" s="148"/>
      <c r="B85" s="149"/>
      <c r="C85" s="149"/>
      <c r="D85" s="149"/>
      <c r="E85" s="155"/>
      <c r="F85" s="155"/>
      <c r="G85" s="153"/>
      <c r="H85" s="251" t="s">
        <v>33</v>
      </c>
      <c r="I85" s="161">
        <f ca="1">IFERROR(__xludf.DUMMYFUNCTION("IMPORTRANGE(""https://docs.google.com/spreadsheets/d/1eHaY18a8A9IcSdp1K8H6x8fbOy06t2VsZHhMHf-1x7Y/edit?usp=sharing"",""แผน!I19"")"),0)</f>
        <v>0</v>
      </c>
      <c r="J85" s="250">
        <v>0</v>
      </c>
      <c r="K85" s="163">
        <f ca="1">IF(I85&gt;0,J85*100/I85,0)</f>
        <v>0</v>
      </c>
      <c r="L85" s="145"/>
      <c r="M85" s="145"/>
      <c r="N85" s="145"/>
      <c r="O85" s="145"/>
      <c r="P85" s="145"/>
    </row>
    <row r="86" spans="1:16" ht="18.75" hidden="1" x14ac:dyDescent="0.25">
      <c r="A86" s="148"/>
      <c r="B86" s="149"/>
      <c r="C86" s="149"/>
      <c r="D86" s="149"/>
      <c r="E86" s="159" t="s">
        <v>39</v>
      </c>
      <c r="F86" s="155"/>
      <c r="G86" s="153"/>
      <c r="H86" s="251" t="s">
        <v>32</v>
      </c>
      <c r="I86" s="161">
        <f ca="1">IFERROR(__xludf.DUMMYFUNCTION("IMPORTRANGE(""https://docs.google.com/spreadsheets/d/1eHaY18a8A9IcSdp1K8H6x8fbOy06t2VsZHhMHf-1x7Y/edit?usp=sharing"",""แผน!F19"")"),0)</f>
        <v>0</v>
      </c>
      <c r="J86" s="250">
        <v>0</v>
      </c>
      <c r="K86" s="163">
        <f ca="1">IF(I86&gt;0,J86*100/I86,0)</f>
        <v>0</v>
      </c>
      <c r="L86" s="145"/>
      <c r="M86" s="145"/>
      <c r="N86" s="145"/>
      <c r="O86" s="145"/>
      <c r="P86" s="145"/>
    </row>
    <row r="87" spans="1:16" ht="18.75" hidden="1" x14ac:dyDescent="0.25">
      <c r="A87" s="148"/>
      <c r="B87" s="149"/>
      <c r="C87" s="149"/>
      <c r="D87" s="149"/>
      <c r="E87" s="155"/>
      <c r="F87" s="155"/>
      <c r="G87" s="153"/>
      <c r="H87" s="251" t="s">
        <v>33</v>
      </c>
      <c r="I87" s="161">
        <f ca="1">IFERROR(__xludf.DUMMYFUNCTION("IMPORTRANGE(""https://docs.google.com/spreadsheets/d/1eHaY18a8A9IcSdp1K8H6x8fbOy06t2VsZHhMHf-1x7Y/edit?usp=sharing"",""แผน!G19"")"),0)</f>
        <v>0</v>
      </c>
      <c r="J87" s="250">
        <v>0</v>
      </c>
      <c r="K87" s="163">
        <f ca="1">IF(I87&gt;0,J87*100/I87,0)</f>
        <v>0</v>
      </c>
      <c r="L87" s="145"/>
      <c r="M87" s="145"/>
      <c r="N87" s="145"/>
      <c r="O87" s="145"/>
      <c r="P87" s="145"/>
    </row>
    <row r="88" spans="1:16" ht="18.75" hidden="1" x14ac:dyDescent="0.25">
      <c r="A88" s="148"/>
      <c r="B88" s="149"/>
      <c r="C88" s="149"/>
      <c r="D88" s="149"/>
      <c r="E88" s="159" t="s">
        <v>40</v>
      </c>
      <c r="F88" s="155"/>
      <c r="G88" s="153"/>
      <c r="H88" s="251" t="s">
        <v>32</v>
      </c>
      <c r="I88" s="161">
        <f ca="1">IFERROR(__xludf.DUMMYFUNCTION("IMPORTRANGE(""https://docs.google.com/spreadsheets/d/1eHaY18a8A9IcSdp1K8H6x8fbOy06t2VsZHhMHf-1x7Y/edit?usp=sharing"",""แผน!D19"")"),0)</f>
        <v>0</v>
      </c>
      <c r="J88" s="250">
        <v>0</v>
      </c>
      <c r="K88" s="163">
        <f ca="1">IF(I88&gt;0,J88*100/I88,0)</f>
        <v>0</v>
      </c>
      <c r="L88" s="145"/>
      <c r="M88" s="145"/>
      <c r="N88" s="145"/>
      <c r="O88" s="145"/>
      <c r="P88" s="145"/>
    </row>
    <row r="89" spans="1:16" ht="18.75" hidden="1" x14ac:dyDescent="0.25">
      <c r="A89" s="148"/>
      <c r="B89" s="149"/>
      <c r="C89" s="149"/>
      <c r="D89" s="149"/>
      <c r="E89" s="155"/>
      <c r="F89" s="155"/>
      <c r="G89" s="153"/>
      <c r="H89" s="251" t="s">
        <v>33</v>
      </c>
      <c r="I89" s="161">
        <f ca="1">IFERROR(__xludf.DUMMYFUNCTION("IMPORTRANGE(""https://docs.google.com/spreadsheets/d/1eHaY18a8A9IcSdp1K8H6x8fbOy06t2VsZHhMHf-1x7Y/edit?usp=sharing"",""แผน!E19"")"),0)</f>
        <v>0</v>
      </c>
      <c r="J89" s="250">
        <v>0</v>
      </c>
      <c r="K89" s="163">
        <f ca="1">IF(I89&gt;0,J89*100/I89,0)</f>
        <v>0</v>
      </c>
      <c r="L89" s="145"/>
      <c r="M89" s="145"/>
      <c r="N89" s="145"/>
      <c r="O89" s="145"/>
      <c r="P89" s="145"/>
    </row>
    <row r="90" spans="1:16" ht="18.75" hidden="1" x14ac:dyDescent="0.25">
      <c r="A90" s="148"/>
      <c r="B90" s="149"/>
      <c r="C90" s="149"/>
      <c r="D90" s="154" t="s">
        <v>41</v>
      </c>
      <c r="E90" s="155"/>
      <c r="F90" s="155"/>
      <c r="G90" s="153"/>
      <c r="H90" s="164" t="s">
        <v>32</v>
      </c>
      <c r="I90" s="161">
        <f ca="1">IFERROR(__xludf.DUMMYFUNCTION("IMPORTRANGE(""https://docs.google.com/spreadsheets/d/1eHaY18a8A9IcSdp1K8H6x8fbOy06t2VsZHhMHf-1x7Y/edit?usp=sharing"",""แผน!J19"")"),0)</f>
        <v>0</v>
      </c>
      <c r="J90" s="250">
        <v>0</v>
      </c>
      <c r="K90" s="163">
        <f ca="1">IF(I90&gt;0,J90*100/I90,0)</f>
        <v>0</v>
      </c>
      <c r="L90" s="145"/>
      <c r="M90" s="145"/>
      <c r="N90" s="145"/>
      <c r="O90" s="145"/>
      <c r="P90" s="145"/>
    </row>
    <row r="91" spans="1:16" ht="19.5" hidden="1" x14ac:dyDescent="0.3">
      <c r="A91" s="125" t="s">
        <v>42</v>
      </c>
      <c r="B91" s="126"/>
      <c r="C91" s="127"/>
      <c r="D91" s="126"/>
      <c r="E91" s="126"/>
      <c r="F91" s="126"/>
      <c r="G91" s="128"/>
      <c r="H91" s="128"/>
      <c r="I91" s="129"/>
      <c r="J91" s="129"/>
      <c r="K91" s="130"/>
      <c r="L91" s="130"/>
      <c r="M91" s="130"/>
      <c r="N91" s="130"/>
      <c r="O91" s="130"/>
      <c r="P91" s="130"/>
    </row>
    <row r="92" spans="1:16" ht="19.5" hidden="1" x14ac:dyDescent="0.3">
      <c r="A92" s="131"/>
      <c r="B92" s="132" t="s">
        <v>43</v>
      </c>
      <c r="C92" s="26"/>
      <c r="D92" s="133"/>
      <c r="E92" s="26"/>
      <c r="F92" s="26"/>
      <c r="G92" s="29"/>
      <c r="H92" s="134" t="s">
        <v>44</v>
      </c>
      <c r="I92" s="135">
        <f ca="1">I108</f>
        <v>0</v>
      </c>
      <c r="J92" s="135">
        <f>J108</f>
        <v>0</v>
      </c>
      <c r="K92" s="33">
        <f ca="1">IF(I92&gt;0,J92*100/I92,0)</f>
        <v>0</v>
      </c>
      <c r="L92" s="32"/>
      <c r="M92" s="32"/>
      <c r="N92" s="32"/>
      <c r="O92" s="32"/>
      <c r="P92" s="32"/>
    </row>
    <row r="93" spans="1:16" ht="19.5" hidden="1" x14ac:dyDescent="0.3">
      <c r="A93" s="131"/>
      <c r="B93" s="26"/>
      <c r="C93" s="26"/>
      <c r="D93" s="133"/>
      <c r="E93" s="26"/>
      <c r="F93" s="26"/>
      <c r="G93" s="29"/>
      <c r="H93" s="134" t="s">
        <v>33</v>
      </c>
      <c r="I93" s="135">
        <f ca="1">I109</f>
        <v>0</v>
      </c>
      <c r="J93" s="135">
        <f>J109</f>
        <v>0</v>
      </c>
      <c r="K93" s="33">
        <f ca="1">IF(I93&gt;0,J93*100/I93,0)</f>
        <v>0</v>
      </c>
      <c r="L93" s="32"/>
      <c r="M93" s="32"/>
      <c r="N93" s="32"/>
      <c r="O93" s="32"/>
      <c r="P93" s="32"/>
    </row>
    <row r="94" spans="1:16" ht="19.5" hidden="1" x14ac:dyDescent="0.3">
      <c r="A94" s="136"/>
      <c r="B94" s="41"/>
      <c r="C94" s="197" t="s">
        <v>16</v>
      </c>
      <c r="D94" s="397" t="s">
        <v>17</v>
      </c>
      <c r="E94" s="41"/>
      <c r="F94" s="41"/>
      <c r="G94" s="43"/>
      <c r="H94" s="139" t="s">
        <v>12</v>
      </c>
      <c r="I94" s="45"/>
      <c r="J94" s="45"/>
      <c r="K94" s="46"/>
      <c r="L94" s="140">
        <f ca="1">L95+L96</f>
        <v>0</v>
      </c>
      <c r="M94" s="140">
        <f ca="1">M95+M96</f>
        <v>0</v>
      </c>
      <c r="N94" s="140">
        <f ca="1">N95+N96</f>
        <v>0</v>
      </c>
      <c r="O94" s="140">
        <f ca="1">IF(L94&gt;0,N94*100/L94,0)</f>
        <v>0</v>
      </c>
      <c r="P94" s="140">
        <f ca="1">IF(M94&gt;0,N94*100/M94,0)</f>
        <v>0</v>
      </c>
    </row>
    <row r="95" spans="1:16" ht="18.75" hidden="1" x14ac:dyDescent="0.25">
      <c r="A95" s="136"/>
      <c r="B95" s="41"/>
      <c r="C95" s="41"/>
      <c r="D95" s="41"/>
      <c r="E95" s="279" t="s">
        <v>18</v>
      </c>
      <c r="F95" s="41"/>
      <c r="G95" s="43"/>
      <c r="H95" s="141" t="s">
        <v>12</v>
      </c>
      <c r="I95" s="45"/>
      <c r="J95" s="45"/>
      <c r="K95" s="46"/>
      <c r="L95" s="50">
        <f>L98+L101</f>
        <v>0</v>
      </c>
      <c r="M95" s="50">
        <f>M98+M101</f>
        <v>0</v>
      </c>
      <c r="N95" s="50">
        <f>N98+N101</f>
        <v>0</v>
      </c>
      <c r="O95" s="50">
        <f>IF(L95&gt;0,N95*100/L95,0)</f>
        <v>0</v>
      </c>
      <c r="P95" s="50">
        <f>IF(M95&gt;0,N95*100/M95,0)</f>
        <v>0</v>
      </c>
    </row>
    <row r="96" spans="1:16" ht="18.75" hidden="1" x14ac:dyDescent="0.25">
      <c r="A96" s="136"/>
      <c r="B96" s="41"/>
      <c r="C96" s="41"/>
      <c r="D96" s="41"/>
      <c r="E96" s="254" t="s">
        <v>19</v>
      </c>
      <c r="F96" s="41"/>
      <c r="G96" s="43"/>
      <c r="H96" s="142" t="s">
        <v>12</v>
      </c>
      <c r="I96" s="45"/>
      <c r="J96" s="45"/>
      <c r="K96" s="46"/>
      <c r="L96" s="47">
        <f ca="1">L99+L102</f>
        <v>0</v>
      </c>
      <c r="M96" s="47">
        <f ca="1">M99+M102</f>
        <v>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</row>
    <row r="97" spans="1:16" ht="18.75" hidden="1" x14ac:dyDescent="0.25">
      <c r="A97" s="136"/>
      <c r="B97" s="41"/>
      <c r="C97" s="41"/>
      <c r="D97" s="42" t="s">
        <v>20</v>
      </c>
      <c r="E97" s="41"/>
      <c r="F97" s="41"/>
      <c r="G97" s="43"/>
      <c r="H97" s="143" t="s">
        <v>12</v>
      </c>
      <c r="I97" s="144"/>
      <c r="J97" s="144"/>
      <c r="K97" s="145"/>
      <c r="L97" s="47">
        <f ca="1">L98+L99</f>
        <v>0</v>
      </c>
      <c r="M97" s="47">
        <f ca="1">M98+M99</f>
        <v>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</row>
    <row r="98" spans="1:16" ht="18.75" hidden="1" x14ac:dyDescent="0.25">
      <c r="A98" s="136"/>
      <c r="B98" s="41"/>
      <c r="C98" s="41"/>
      <c r="D98" s="41"/>
      <c r="E98" s="279" t="s">
        <v>34</v>
      </c>
      <c r="F98" s="41"/>
      <c r="G98" s="43"/>
      <c r="H98" s="146" t="s">
        <v>12</v>
      </c>
      <c r="I98" s="144"/>
      <c r="J98" s="144"/>
      <c r="K98" s="145"/>
      <c r="L98" s="50">
        <v>0</v>
      </c>
      <c r="M98" s="50">
        <v>0</v>
      </c>
      <c r="N98" s="50">
        <v>0</v>
      </c>
      <c r="O98" s="50">
        <f>IF(L98&gt;0,N98*100/L98,0)</f>
        <v>0</v>
      </c>
      <c r="P98" s="50">
        <f>IF(M98&gt;0,N98*100/M98,0)</f>
        <v>0</v>
      </c>
    </row>
    <row r="99" spans="1:16" ht="18.75" hidden="1" x14ac:dyDescent="0.25">
      <c r="A99" s="136"/>
      <c r="B99" s="41"/>
      <c r="C99" s="41"/>
      <c r="D99" s="41"/>
      <c r="E99" s="254" t="s">
        <v>35</v>
      </c>
      <c r="F99" s="41"/>
      <c r="G99" s="43"/>
      <c r="H99" s="143" t="s">
        <v>12</v>
      </c>
      <c r="I99" s="144"/>
      <c r="J99" s="144"/>
      <c r="K99" s="145"/>
      <c r="L99" s="47">
        <f ca="1">IFERROR(__xludf.DUMMYFUNCTION("IMPORTRANGE(""https://docs.google.com/spreadsheets/d/1-uDff_7J0KD5mKrp0Vvzr7lt3OU09vwQwhkpOPPYv2Y/edit?usp=sharing"",""งบพรบ!AW19"")"),0)</f>
        <v>0</v>
      </c>
      <c r="M99" s="47">
        <f ca="1">IFERROR(__xludf.DUMMYFUNCTION("IMPORTRANGE(""https://docs.google.com/spreadsheets/d/1-uDff_7J0KD5mKrp0Vvzr7lt3OU09vwQwhkpOPPYv2Y/edit?usp=sharing"",""งบพรบ!BB19"")"),0)</f>
        <v>0</v>
      </c>
      <c r="N99" s="47">
        <f ca="1">IFERROR(__xludf.DUMMYFUNCTION("IMPORTRANGE(""https://docs.google.com/spreadsheets/d/1-uDff_7J0KD5mKrp0Vvzr7lt3OU09vwQwhkpOPPYv2Y/edit?usp=sharing"",""งบพรบ!BD19"")"),0)</f>
        <v>0</v>
      </c>
      <c r="O99" s="47">
        <f ca="1">IF(L99&gt;0,N99*100/L99,0)</f>
        <v>0</v>
      </c>
      <c r="P99" s="47">
        <f ca="1">IF(M99&gt;0,N99*100/M99,0)</f>
        <v>0</v>
      </c>
    </row>
    <row r="100" spans="1:16" ht="18.75" hidden="1" x14ac:dyDescent="0.25">
      <c r="A100" s="136"/>
      <c r="B100" s="41"/>
      <c r="C100" s="41"/>
      <c r="D100" s="42" t="s">
        <v>21</v>
      </c>
      <c r="E100" s="41"/>
      <c r="F100" s="41"/>
      <c r="G100" s="43"/>
      <c r="H100" s="147" t="s">
        <v>12</v>
      </c>
      <c r="I100" s="144"/>
      <c r="J100" s="144"/>
      <c r="K100" s="145"/>
      <c r="L100" s="47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</row>
    <row r="101" spans="1:16" ht="18.75" hidden="1" x14ac:dyDescent="0.25">
      <c r="A101" s="136"/>
      <c r="B101" s="41"/>
      <c r="C101" s="41"/>
      <c r="D101" s="41"/>
      <c r="E101" s="279" t="s">
        <v>18</v>
      </c>
      <c r="F101" s="41"/>
      <c r="G101" s="43"/>
      <c r="H101" s="146" t="s">
        <v>12</v>
      </c>
      <c r="I101" s="144"/>
      <c r="J101" s="144"/>
      <c r="K101" s="145"/>
      <c r="L101" s="50">
        <v>0</v>
      </c>
      <c r="M101" s="50">
        <v>0</v>
      </c>
      <c r="N101" s="50">
        <v>0</v>
      </c>
      <c r="O101" s="50">
        <f>IF(L101&gt;0,N101*100/L101,0)</f>
        <v>0</v>
      </c>
      <c r="P101" s="50">
        <f>IF(M101&gt;0,N101*100/M101,0)</f>
        <v>0</v>
      </c>
    </row>
    <row r="102" spans="1:16" ht="18.75" hidden="1" x14ac:dyDescent="0.25">
      <c r="A102" s="136"/>
      <c r="B102" s="41"/>
      <c r="C102" s="41"/>
      <c r="D102" s="41"/>
      <c r="E102" s="254" t="s">
        <v>19</v>
      </c>
      <c r="F102" s="41"/>
      <c r="G102" s="43"/>
      <c r="H102" s="147" t="s">
        <v>12</v>
      </c>
      <c r="I102" s="144"/>
      <c r="J102" s="144"/>
      <c r="K102" s="145"/>
      <c r="L102" s="47">
        <f ca="1">IFERROR(__xludf.DUMMYFUNCTION("IMPORTRANGE(""https://docs.google.com/spreadsheets/d/1-uDff_7J0KD5mKrp0Vvzr7lt3OU09vwQwhkpOPPYv2Y/edit?usp=sharing"",""งบพรบ!AZ19"")"),0)</f>
        <v>0</v>
      </c>
      <c r="M102" s="47">
        <f ca="1">IFERROR(__xludf.DUMMYFUNCTION("IMPORTRANGE(""https://docs.google.com/spreadsheets/d/1-uDff_7J0KD5mKrp0Vvzr7lt3OU09vwQwhkpOPPYv2Y/edit?usp=sharing"",""งบพรบ!BC19"")"),0)</f>
        <v>0</v>
      </c>
      <c r="N102" s="47">
        <f ca="1">IFERROR(__xludf.DUMMYFUNCTION("IMPORTRANGE(""https://docs.google.com/spreadsheets/d/1-uDff_7J0KD5mKrp0Vvzr7lt3OU09vwQwhkpOPPYv2Y/edit?usp=sharing"",""งบพรบ!BE19"")"),0)</f>
        <v>0</v>
      </c>
      <c r="O102" s="47">
        <f ca="1">IF(L102&gt;0,N102*100/L102,0)</f>
        <v>0</v>
      </c>
      <c r="P102" s="47">
        <f ca="1">IF(M102&gt;0,N102*100/M102,0)</f>
        <v>0</v>
      </c>
    </row>
    <row r="103" spans="1:16" ht="19.5" hidden="1" x14ac:dyDescent="0.3">
      <c r="A103" s="148"/>
      <c r="B103" s="149"/>
      <c r="C103" s="197" t="s">
        <v>16</v>
      </c>
      <c r="D103" s="395" t="s">
        <v>36</v>
      </c>
      <c r="E103" s="151"/>
      <c r="F103" s="151"/>
      <c r="G103" s="152"/>
      <c r="H103" s="153"/>
      <c r="I103" s="144"/>
      <c r="J103" s="45"/>
      <c r="K103" s="46"/>
      <c r="L103" s="46"/>
      <c r="M103" s="46"/>
      <c r="N103" s="46"/>
      <c r="O103" s="145"/>
      <c r="P103" s="145"/>
    </row>
    <row r="104" spans="1:16" ht="12.75" hidden="1" x14ac:dyDescent="0.2">
      <c r="A104" s="165"/>
      <c r="B104" s="166"/>
      <c r="C104" s="166"/>
      <c r="D104" s="16"/>
      <c r="E104" s="16"/>
      <c r="F104" s="16"/>
      <c r="G104" s="17"/>
      <c r="H104" s="17"/>
      <c r="I104" s="18"/>
      <c r="J104" s="18"/>
      <c r="K104" s="19"/>
      <c r="L104" s="19"/>
      <c r="M104" s="19"/>
      <c r="N104" s="19"/>
      <c r="O104" s="19"/>
      <c r="P104" s="19"/>
    </row>
    <row r="105" spans="1:16" ht="12.75" hidden="1" x14ac:dyDescent="0.2">
      <c r="A105" s="165"/>
      <c r="B105" s="166"/>
      <c r="C105" s="166"/>
      <c r="D105" s="16"/>
      <c r="E105" s="16"/>
      <c r="F105" s="16"/>
      <c r="G105" s="17"/>
      <c r="H105" s="17"/>
      <c r="I105" s="18"/>
      <c r="J105" s="18"/>
      <c r="K105" s="19"/>
      <c r="L105" s="19"/>
      <c r="M105" s="19"/>
      <c r="N105" s="19"/>
      <c r="O105" s="19"/>
      <c r="P105" s="19"/>
    </row>
    <row r="106" spans="1:16" ht="12.75" hidden="1" x14ac:dyDescent="0.2">
      <c r="A106" s="165"/>
      <c r="B106" s="166"/>
      <c r="C106" s="166"/>
      <c r="D106" s="166"/>
      <c r="E106" s="16"/>
      <c r="F106" s="16"/>
      <c r="G106" s="17"/>
      <c r="H106" s="17"/>
      <c r="I106" s="18"/>
      <c r="J106" s="18"/>
      <c r="K106" s="19"/>
      <c r="L106" s="19"/>
      <c r="M106" s="19"/>
      <c r="N106" s="19"/>
      <c r="O106" s="19"/>
      <c r="P106" s="19"/>
    </row>
    <row r="107" spans="1:16" ht="19.5" hidden="1" x14ac:dyDescent="0.3">
      <c r="A107" s="148"/>
      <c r="B107" s="149"/>
      <c r="C107" s="149"/>
      <c r="D107" s="167" t="s">
        <v>45</v>
      </c>
      <c r="E107" s="168"/>
      <c r="F107" s="155"/>
      <c r="G107" s="153"/>
      <c r="H107" s="43"/>
      <c r="I107" s="45"/>
      <c r="J107" s="45"/>
      <c r="K107" s="46"/>
      <c r="L107" s="46"/>
      <c r="M107" s="46"/>
      <c r="N107" s="46"/>
      <c r="O107" s="145"/>
      <c r="P107" s="145"/>
    </row>
    <row r="108" spans="1:16" ht="18.75" hidden="1" x14ac:dyDescent="0.25">
      <c r="A108" s="148"/>
      <c r="B108" s="149"/>
      <c r="C108" s="149"/>
      <c r="D108" s="159" t="s">
        <v>46</v>
      </c>
      <c r="E108" s="155"/>
      <c r="F108" s="155"/>
      <c r="G108" s="153"/>
      <c r="H108" s="44" t="s">
        <v>44</v>
      </c>
      <c r="I108" s="169">
        <f ca="1">IFERROR(__xludf.DUMMYFUNCTION("IMPORTRANGE(""https://docs.google.com/spreadsheets/d/1eHaY18a8A9IcSdp1K8H6x8fbOy06t2VsZHhMHf-1x7Y/edit?usp=sharing"",""แผน!N19"")"),0)</f>
        <v>0</v>
      </c>
      <c r="J108" s="250">
        <v>0</v>
      </c>
      <c r="K108" s="47">
        <f ca="1">IF(I108&gt;0,J108*100/I108,0)</f>
        <v>0</v>
      </c>
      <c r="L108" s="46"/>
      <c r="M108" s="46"/>
      <c r="N108" s="46"/>
      <c r="O108" s="145"/>
      <c r="P108" s="145"/>
    </row>
    <row r="109" spans="1:16" ht="18.75" hidden="1" x14ac:dyDescent="0.25">
      <c r="A109" s="148"/>
      <c r="B109" s="149"/>
      <c r="C109" s="149"/>
      <c r="D109" s="159" t="s">
        <v>47</v>
      </c>
      <c r="E109" s="155"/>
      <c r="F109" s="155"/>
      <c r="G109" s="153"/>
      <c r="H109" s="44" t="s">
        <v>33</v>
      </c>
      <c r="I109" s="169">
        <f ca="1">IFERROR(__xludf.DUMMYFUNCTION("IMPORTRANGE(""https://docs.google.com/spreadsheets/d/1eHaY18a8A9IcSdp1K8H6x8fbOy06t2VsZHhMHf-1x7Y/edit?usp=sharing"",""แผน!O19"")"),0)</f>
        <v>0</v>
      </c>
      <c r="J109" s="250">
        <v>0</v>
      </c>
      <c r="K109" s="47">
        <f ca="1">IF(I109&gt;0,J109*100/I109,0)</f>
        <v>0</v>
      </c>
      <c r="L109" s="46"/>
      <c r="M109" s="46"/>
      <c r="N109" s="46"/>
      <c r="O109" s="145"/>
      <c r="P109" s="145"/>
    </row>
    <row r="110" spans="1:16" ht="12.75" hidden="1" x14ac:dyDescent="0.2">
      <c r="A110" s="165"/>
      <c r="B110" s="166"/>
      <c r="C110" s="166"/>
      <c r="D110" s="16"/>
      <c r="E110" s="16"/>
      <c r="F110" s="16"/>
      <c r="G110" s="17"/>
      <c r="H110" s="17"/>
      <c r="I110" s="18"/>
      <c r="J110" s="18"/>
      <c r="K110" s="19"/>
      <c r="L110" s="19"/>
      <c r="M110" s="19"/>
      <c r="N110" s="19"/>
      <c r="O110" s="19"/>
      <c r="P110" s="19"/>
    </row>
    <row r="111" spans="1:16" ht="12.75" hidden="1" x14ac:dyDescent="0.2">
      <c r="A111" s="165"/>
      <c r="B111" s="166"/>
      <c r="C111" s="166"/>
      <c r="D111" s="16"/>
      <c r="E111" s="16"/>
      <c r="F111" s="16"/>
      <c r="G111" s="17"/>
      <c r="H111" s="17"/>
      <c r="I111" s="18"/>
      <c r="J111" s="18"/>
      <c r="K111" s="19"/>
      <c r="L111" s="19"/>
      <c r="M111" s="19"/>
      <c r="N111" s="19"/>
      <c r="O111" s="19"/>
      <c r="P111" s="19"/>
    </row>
    <row r="112" spans="1:16" ht="12.75" hidden="1" x14ac:dyDescent="0.2">
      <c r="A112" s="165"/>
      <c r="B112" s="166"/>
      <c r="C112" s="166"/>
      <c r="D112" s="16"/>
      <c r="E112" s="16"/>
      <c r="F112" s="16"/>
      <c r="G112" s="17"/>
      <c r="H112" s="17"/>
      <c r="I112" s="18"/>
      <c r="J112" s="18"/>
      <c r="K112" s="19"/>
      <c r="L112" s="19"/>
      <c r="M112" s="19"/>
      <c r="N112" s="19"/>
      <c r="O112" s="19"/>
      <c r="P112" s="19"/>
    </row>
    <row r="113" spans="1:16" ht="12.75" hidden="1" x14ac:dyDescent="0.2">
      <c r="A113" s="165"/>
      <c r="B113" s="166"/>
      <c r="C113" s="166"/>
      <c r="D113" s="16"/>
      <c r="E113" s="16"/>
      <c r="F113" s="16"/>
      <c r="G113" s="17"/>
      <c r="H113" s="17"/>
      <c r="I113" s="18"/>
      <c r="J113" s="18"/>
      <c r="K113" s="19"/>
      <c r="L113" s="19"/>
      <c r="M113" s="19"/>
      <c r="N113" s="19"/>
      <c r="O113" s="19"/>
      <c r="P113" s="19"/>
    </row>
    <row r="114" spans="1:16" ht="12.75" hidden="1" x14ac:dyDescent="0.2">
      <c r="A114" s="165"/>
      <c r="B114" s="166"/>
      <c r="C114" s="166"/>
      <c r="D114" s="16"/>
      <c r="E114" s="16"/>
      <c r="F114" s="16"/>
      <c r="G114" s="17"/>
      <c r="H114" s="17"/>
      <c r="I114" s="18"/>
      <c r="J114" s="18"/>
      <c r="K114" s="19"/>
      <c r="L114" s="19"/>
      <c r="M114" s="19"/>
      <c r="N114" s="19"/>
      <c r="O114" s="19"/>
      <c r="P114" s="19"/>
    </row>
    <row r="115" spans="1:16" ht="12.75" hidden="1" x14ac:dyDescent="0.2">
      <c r="A115" s="165"/>
      <c r="B115" s="166"/>
      <c r="C115" s="166"/>
      <c r="D115" s="16"/>
      <c r="E115" s="16"/>
      <c r="F115" s="16"/>
      <c r="G115" s="17"/>
      <c r="H115" s="17"/>
      <c r="I115" s="18"/>
      <c r="J115" s="18"/>
      <c r="K115" s="19"/>
      <c r="L115" s="19"/>
      <c r="M115" s="19"/>
      <c r="N115" s="19"/>
      <c r="O115" s="19"/>
      <c r="P115" s="19"/>
    </row>
    <row r="116" spans="1:16" ht="12.75" hidden="1" x14ac:dyDescent="0.2">
      <c r="A116" s="165"/>
      <c r="B116" s="166"/>
      <c r="C116" s="166"/>
      <c r="D116" s="16"/>
      <c r="E116" s="16"/>
      <c r="F116" s="16"/>
      <c r="G116" s="17"/>
      <c r="H116" s="17"/>
      <c r="I116" s="18"/>
      <c r="J116" s="18"/>
      <c r="K116" s="19"/>
      <c r="L116" s="19"/>
      <c r="M116" s="19"/>
      <c r="N116" s="19"/>
      <c r="O116" s="19"/>
      <c r="P116" s="19"/>
    </row>
    <row r="117" spans="1:16" ht="18.75" hidden="1" x14ac:dyDescent="0.25">
      <c r="A117" s="148"/>
      <c r="B117" s="149"/>
      <c r="C117" s="149"/>
      <c r="D117" s="159" t="s">
        <v>48</v>
      </c>
      <c r="E117" s="155"/>
      <c r="F117" s="155"/>
      <c r="G117" s="153"/>
      <c r="H117" s="251" t="s">
        <v>33</v>
      </c>
      <c r="I117" s="161">
        <f ca="1">IFERROR(__xludf.DUMMYFUNCTION("IMPORTRANGE(""https://docs.google.com/spreadsheets/d/1eHaY18a8A9IcSdp1K8H6x8fbOy06t2VsZHhMHf-1x7Y/edit?usp=sharing"",""แผน!R19"")"),0)</f>
        <v>0</v>
      </c>
      <c r="J117" s="250">
        <v>0</v>
      </c>
      <c r="K117" s="47">
        <f ca="1">IF(I117&gt;0,J117*100/I117,0)</f>
        <v>0</v>
      </c>
      <c r="L117" s="46"/>
      <c r="M117" s="46"/>
      <c r="N117" s="46"/>
      <c r="O117" s="145"/>
      <c r="P117" s="145"/>
    </row>
    <row r="118" spans="1:16" ht="12.75" hidden="1" x14ac:dyDescent="0.2">
      <c r="A118" s="165"/>
      <c r="B118" s="166"/>
      <c r="C118" s="166"/>
      <c r="D118" s="166"/>
      <c r="E118" s="16"/>
      <c r="F118" s="16"/>
      <c r="G118" s="17"/>
      <c r="H118" s="17"/>
      <c r="I118" s="18"/>
      <c r="J118" s="18"/>
      <c r="K118" s="19"/>
      <c r="L118" s="19"/>
      <c r="M118" s="19"/>
      <c r="N118" s="19"/>
      <c r="O118" s="19"/>
      <c r="P118" s="19"/>
    </row>
    <row r="119" spans="1:16" ht="12.75" hidden="1" x14ac:dyDescent="0.2">
      <c r="A119" s="165"/>
      <c r="B119" s="166"/>
      <c r="C119" s="166"/>
      <c r="D119" s="166"/>
      <c r="E119" s="16"/>
      <c r="F119" s="16"/>
      <c r="G119" s="17"/>
      <c r="H119" s="17"/>
      <c r="I119" s="18"/>
      <c r="J119" s="18"/>
      <c r="K119" s="19"/>
      <c r="L119" s="19"/>
      <c r="M119" s="19"/>
      <c r="N119" s="19"/>
      <c r="O119" s="19"/>
      <c r="P119" s="19"/>
    </row>
    <row r="120" spans="1:16" ht="12.75" hidden="1" x14ac:dyDescent="0.2">
      <c r="A120" s="165"/>
      <c r="B120" s="166"/>
      <c r="C120" s="166"/>
      <c r="D120" s="166"/>
      <c r="E120" s="16"/>
      <c r="F120" s="16"/>
      <c r="G120" s="17"/>
      <c r="H120" s="17"/>
      <c r="I120" s="18"/>
      <c r="J120" s="18"/>
      <c r="K120" s="19"/>
      <c r="L120" s="19"/>
      <c r="M120" s="19"/>
      <c r="N120" s="19"/>
      <c r="O120" s="19"/>
      <c r="P120" s="19"/>
    </row>
    <row r="121" spans="1:16" ht="12.75" hidden="1" x14ac:dyDescent="0.2">
      <c r="A121" s="165"/>
      <c r="B121" s="166"/>
      <c r="C121" s="166"/>
      <c r="D121" s="166"/>
      <c r="E121" s="16"/>
      <c r="F121" s="16"/>
      <c r="G121" s="17"/>
      <c r="H121" s="17"/>
      <c r="I121" s="18"/>
      <c r="J121" s="18"/>
      <c r="K121" s="19"/>
      <c r="L121" s="19"/>
      <c r="M121" s="19"/>
      <c r="N121" s="19"/>
      <c r="O121" s="19"/>
      <c r="P121" s="19"/>
    </row>
    <row r="122" spans="1:16" ht="12.75" hidden="1" x14ac:dyDescent="0.2">
      <c r="A122" s="165"/>
      <c r="B122" s="166"/>
      <c r="C122" s="166"/>
      <c r="D122" s="166"/>
      <c r="E122" s="16"/>
      <c r="F122" s="16"/>
      <c r="G122" s="17"/>
      <c r="H122" s="17"/>
      <c r="I122" s="18"/>
      <c r="J122" s="18"/>
      <c r="K122" s="19"/>
      <c r="L122" s="19"/>
      <c r="M122" s="19"/>
      <c r="N122" s="19"/>
      <c r="O122" s="19"/>
      <c r="P122" s="19"/>
    </row>
    <row r="123" spans="1:16" ht="19.5" hidden="1" x14ac:dyDescent="0.3">
      <c r="A123" s="170" t="s">
        <v>49</v>
      </c>
      <c r="B123" s="16"/>
      <c r="C123" s="171"/>
      <c r="D123" s="16"/>
      <c r="E123" s="16"/>
      <c r="F123" s="16"/>
      <c r="G123" s="16"/>
      <c r="H123" s="16"/>
      <c r="I123" s="172"/>
      <c r="J123" s="172"/>
      <c r="K123" s="173"/>
      <c r="L123" s="19"/>
      <c r="M123" s="19"/>
      <c r="N123" s="19"/>
      <c r="O123" s="19"/>
      <c r="P123" s="19"/>
    </row>
    <row r="124" spans="1:16" ht="19.5" hidden="1" x14ac:dyDescent="0.3">
      <c r="A124" s="174"/>
      <c r="B124" s="178" t="s">
        <v>50</v>
      </c>
      <c r="C124" s="171"/>
      <c r="D124" s="166"/>
      <c r="E124" s="16"/>
      <c r="F124" s="16"/>
      <c r="G124" s="17"/>
      <c r="H124" s="17"/>
      <c r="I124" s="176">
        <v>0</v>
      </c>
      <c r="J124" s="176">
        <v>0</v>
      </c>
      <c r="K124" s="177">
        <v>0</v>
      </c>
      <c r="L124" s="19"/>
      <c r="M124" s="19"/>
      <c r="N124" s="19"/>
      <c r="O124" s="19"/>
      <c r="P124" s="19"/>
    </row>
    <row r="125" spans="1:16" ht="19.5" hidden="1" x14ac:dyDescent="0.3">
      <c r="A125" s="174"/>
      <c r="B125" s="16"/>
      <c r="C125" s="178" t="s">
        <v>16</v>
      </c>
      <c r="D125" s="402" t="s">
        <v>17</v>
      </c>
      <c r="E125" s="16"/>
      <c r="F125" s="16"/>
      <c r="G125" s="17"/>
      <c r="H125" s="180" t="s">
        <v>12</v>
      </c>
      <c r="I125" s="18"/>
      <c r="J125" s="18"/>
      <c r="K125" s="19"/>
      <c r="L125" s="181">
        <f ca="1">L126+L127</f>
        <v>0</v>
      </c>
      <c r="M125" s="181">
        <f ca="1">M126+M127</f>
        <v>0</v>
      </c>
      <c r="N125" s="181">
        <f ca="1">N126+N127</f>
        <v>0</v>
      </c>
      <c r="O125" s="181">
        <f ca="1">IF(L125&gt;0,N125*100/L125,0)</f>
        <v>0</v>
      </c>
      <c r="P125" s="181">
        <f ca="1">IF(M125&gt;0,N125*100/M125,0)</f>
        <v>0</v>
      </c>
    </row>
    <row r="126" spans="1:16" ht="18.75" hidden="1" x14ac:dyDescent="0.25">
      <c r="A126" s="174"/>
      <c r="B126" s="16"/>
      <c r="C126" s="16"/>
      <c r="D126" s="16"/>
      <c r="E126" s="182" t="s">
        <v>18</v>
      </c>
      <c r="F126" s="16"/>
      <c r="G126" s="17"/>
      <c r="H126" s="183" t="s">
        <v>12</v>
      </c>
      <c r="I126" s="18"/>
      <c r="J126" s="18"/>
      <c r="K126" s="19"/>
      <c r="L126" s="184">
        <f>L129+L132</f>
        <v>0</v>
      </c>
      <c r="M126" s="184">
        <f>M129+M132</f>
        <v>0</v>
      </c>
      <c r="N126" s="184">
        <f>N129+N132</f>
        <v>0</v>
      </c>
      <c r="O126" s="184">
        <f>IF(L126&gt;0,N126*100/L126,0)</f>
        <v>0</v>
      </c>
      <c r="P126" s="184">
        <f>IF(M126&gt;0,N126*100/M126,0)</f>
        <v>0</v>
      </c>
    </row>
    <row r="127" spans="1:16" ht="18.75" hidden="1" x14ac:dyDescent="0.25">
      <c r="A127" s="174"/>
      <c r="B127" s="16"/>
      <c r="C127" s="16"/>
      <c r="D127" s="16"/>
      <c r="E127" s="185" t="s">
        <v>19</v>
      </c>
      <c r="F127" s="16"/>
      <c r="G127" s="17"/>
      <c r="H127" s="186" t="s">
        <v>12</v>
      </c>
      <c r="I127" s="18"/>
      <c r="J127" s="18"/>
      <c r="K127" s="19"/>
      <c r="L127" s="177">
        <f ca="1">L130+L133</f>
        <v>0</v>
      </c>
      <c r="M127" s="177">
        <f ca="1">M130+M133</f>
        <v>0</v>
      </c>
      <c r="N127" s="177">
        <f ca="1">N130+N133</f>
        <v>0</v>
      </c>
      <c r="O127" s="177">
        <f ca="1">IF(L127&gt;0,N127*100/L127,0)</f>
        <v>0</v>
      </c>
      <c r="P127" s="177">
        <f ca="1">IF(M127&gt;0,N127*100/M127,0)</f>
        <v>0</v>
      </c>
    </row>
    <row r="128" spans="1:16" ht="18.75" hidden="1" x14ac:dyDescent="0.25">
      <c r="A128" s="174"/>
      <c r="B128" s="16"/>
      <c r="C128" s="16"/>
      <c r="D128" s="401" t="s">
        <v>20</v>
      </c>
      <c r="E128" s="16"/>
      <c r="F128" s="16"/>
      <c r="G128" s="17"/>
      <c r="H128" s="188" t="s">
        <v>12</v>
      </c>
      <c r="I128" s="18"/>
      <c r="J128" s="18"/>
      <c r="K128" s="19"/>
      <c r="L128" s="177">
        <f ca="1">L129+L130</f>
        <v>0</v>
      </c>
      <c r="M128" s="177">
        <f ca="1">M129+M130</f>
        <v>0</v>
      </c>
      <c r="N128" s="177">
        <f ca="1">N129+N130</f>
        <v>0</v>
      </c>
      <c r="O128" s="177">
        <f ca="1">IF(L128&gt;0,N128*100/L128,0)</f>
        <v>0</v>
      </c>
      <c r="P128" s="177">
        <f ca="1">IF(M128&gt;0,N128*100/M128,0)</f>
        <v>0</v>
      </c>
    </row>
    <row r="129" spans="1:16" ht="18.75" hidden="1" x14ac:dyDescent="0.25">
      <c r="A129" s="174"/>
      <c r="B129" s="16"/>
      <c r="C129" s="16"/>
      <c r="D129" s="16"/>
      <c r="E129" s="182" t="s">
        <v>34</v>
      </c>
      <c r="F129" s="16"/>
      <c r="G129" s="17"/>
      <c r="H129" s="189" t="s">
        <v>12</v>
      </c>
      <c r="I129" s="18"/>
      <c r="J129" s="18"/>
      <c r="K129" s="19"/>
      <c r="L129" s="184">
        <v>0</v>
      </c>
      <c r="M129" s="184">
        <v>0</v>
      </c>
      <c r="N129" s="184">
        <v>0</v>
      </c>
      <c r="O129" s="184">
        <f>IF(L129&gt;0,N129*100/L129,0)</f>
        <v>0</v>
      </c>
      <c r="P129" s="184">
        <f>IF(M129&gt;0,N129*100/M129,0)</f>
        <v>0</v>
      </c>
    </row>
    <row r="130" spans="1:16" ht="18.75" hidden="1" x14ac:dyDescent="0.25">
      <c r="A130" s="174"/>
      <c r="B130" s="16"/>
      <c r="C130" s="16"/>
      <c r="D130" s="16"/>
      <c r="E130" s="185" t="s">
        <v>35</v>
      </c>
      <c r="F130" s="16"/>
      <c r="G130" s="17"/>
      <c r="H130" s="188" t="s">
        <v>12</v>
      </c>
      <c r="I130" s="18"/>
      <c r="J130" s="18"/>
      <c r="K130" s="19"/>
      <c r="L130" s="177">
        <f ca="1">IFERROR(__xludf.DUMMYFUNCTION("IMPORTRANGE(""https://docs.google.com/spreadsheets/d/1-uDff_7J0KD5mKrp0Vvzr7lt3OU09vwQwhkpOPPYv2Y/edit?usp=sharing"",""งบพรบ!BG19"")"),0)</f>
        <v>0</v>
      </c>
      <c r="M130" s="177">
        <f ca="1">IFERROR(__xludf.DUMMYFUNCTION("IMPORTRANGE(""https://docs.google.com/spreadsheets/d/1-uDff_7J0KD5mKrp0Vvzr7lt3OU09vwQwhkpOPPYv2Y/edit?usp=sharing"",""งบพรบ!BL19"")"),0)</f>
        <v>0</v>
      </c>
      <c r="N130" s="177">
        <f ca="1">IFERROR(__xludf.DUMMYFUNCTION("IMPORTRANGE(""https://docs.google.com/spreadsheets/d/1-uDff_7J0KD5mKrp0Vvzr7lt3OU09vwQwhkpOPPYv2Y/edit?usp=sharing"",""งบพรบ!BN19"")"),0)</f>
        <v>0</v>
      </c>
      <c r="O130" s="177">
        <f ca="1">IF(L130&gt;0,N130*100/L130,0)</f>
        <v>0</v>
      </c>
      <c r="P130" s="177">
        <f ca="1">IF(M130&gt;0,N130*100/M130,0)</f>
        <v>0</v>
      </c>
    </row>
    <row r="131" spans="1:16" ht="18.75" hidden="1" x14ac:dyDescent="0.25">
      <c r="A131" s="174"/>
      <c r="B131" s="16"/>
      <c r="C131" s="16"/>
      <c r="D131" s="401" t="s">
        <v>21</v>
      </c>
      <c r="E131" s="16"/>
      <c r="F131" s="16"/>
      <c r="G131" s="17"/>
      <c r="H131" s="186" t="s">
        <v>12</v>
      </c>
      <c r="I131" s="18"/>
      <c r="J131" s="18"/>
      <c r="K131" s="19"/>
      <c r="L131" s="177">
        <f ca="1">L132+L133</f>
        <v>0</v>
      </c>
      <c r="M131" s="177">
        <f ca="1">M132+M133</f>
        <v>0</v>
      </c>
      <c r="N131" s="177">
        <f ca="1">N132+N133</f>
        <v>0</v>
      </c>
      <c r="O131" s="177">
        <f ca="1">IF(L131&gt;0,N131*100/L131,0)</f>
        <v>0</v>
      </c>
      <c r="P131" s="177">
        <f ca="1">IF(M131&gt;0,N131*100/M131,0)</f>
        <v>0</v>
      </c>
    </row>
    <row r="132" spans="1:16" ht="18.75" hidden="1" x14ac:dyDescent="0.25">
      <c r="A132" s="174"/>
      <c r="B132" s="16"/>
      <c r="C132" s="16"/>
      <c r="D132" s="16"/>
      <c r="E132" s="182" t="s">
        <v>18</v>
      </c>
      <c r="F132" s="16"/>
      <c r="G132" s="17"/>
      <c r="H132" s="189" t="s">
        <v>12</v>
      </c>
      <c r="I132" s="18"/>
      <c r="J132" s="18"/>
      <c r="K132" s="19"/>
      <c r="L132" s="184">
        <v>0</v>
      </c>
      <c r="M132" s="184">
        <v>0</v>
      </c>
      <c r="N132" s="184">
        <v>0</v>
      </c>
      <c r="O132" s="184">
        <f>IF(L132&gt;0,N132*100/L132,0)</f>
        <v>0</v>
      </c>
      <c r="P132" s="184">
        <f>IF(M132&gt;0,N132*100/M132,0)</f>
        <v>0</v>
      </c>
    </row>
    <row r="133" spans="1:16" ht="18.75" hidden="1" x14ac:dyDescent="0.25">
      <c r="A133" s="174"/>
      <c r="B133" s="16"/>
      <c r="C133" s="16"/>
      <c r="D133" s="16"/>
      <c r="E133" s="185" t="s">
        <v>19</v>
      </c>
      <c r="F133" s="16"/>
      <c r="G133" s="17"/>
      <c r="H133" s="186" t="s">
        <v>12</v>
      </c>
      <c r="I133" s="18"/>
      <c r="J133" s="18"/>
      <c r="K133" s="19"/>
      <c r="L133" s="177">
        <f ca="1">IFERROR(__xludf.DUMMYFUNCTION("IMPORTRANGE(""https://docs.google.com/spreadsheets/d/1-uDff_7J0KD5mKrp0Vvzr7lt3OU09vwQwhkpOPPYv2Y/edit?usp=sharing"",""งบพรบ!BJ19"")"),0)</f>
        <v>0</v>
      </c>
      <c r="M133" s="177">
        <f ca="1">IFERROR(__xludf.DUMMYFUNCTION("IMPORTRANGE(""https://docs.google.com/spreadsheets/d/1-uDff_7J0KD5mKrp0Vvzr7lt3OU09vwQwhkpOPPYv2Y/edit?usp=sharing"",""งบพรบ!BM19"")"),0)</f>
        <v>0</v>
      </c>
      <c r="N133" s="177">
        <f ca="1">IFERROR(__xludf.DUMMYFUNCTION("IMPORTRANGE(""https://docs.google.com/spreadsheets/d/1-uDff_7J0KD5mKrp0Vvzr7lt3OU09vwQwhkpOPPYv2Y/edit?usp=sharing"",""งบพรบ!BO19"")"),0)</f>
        <v>0</v>
      </c>
      <c r="O133" s="177">
        <f ca="1">IF(L133&gt;0,N133*100/L133,0)</f>
        <v>0</v>
      </c>
      <c r="P133" s="177">
        <f ca="1">IF(M133&gt;0,N133*100/M133,0)</f>
        <v>0</v>
      </c>
    </row>
    <row r="134" spans="1:16" ht="19.5" x14ac:dyDescent="0.3">
      <c r="A134" s="125" t="s">
        <v>51</v>
      </c>
      <c r="B134" s="126"/>
      <c r="C134" s="190"/>
      <c r="D134" s="126"/>
      <c r="E134" s="126"/>
      <c r="F134" s="126"/>
      <c r="G134" s="126"/>
      <c r="H134" s="126"/>
      <c r="I134" s="191"/>
      <c r="J134" s="191"/>
      <c r="K134" s="192"/>
      <c r="L134" s="130"/>
      <c r="M134" s="130"/>
      <c r="N134" s="130"/>
      <c r="O134" s="130"/>
      <c r="P134" s="130"/>
    </row>
    <row r="135" spans="1:16" ht="19.5" x14ac:dyDescent="0.3">
      <c r="A135" s="131"/>
      <c r="B135" s="132" t="s">
        <v>52</v>
      </c>
      <c r="C135" s="193"/>
      <c r="D135" s="133"/>
      <c r="E135" s="26"/>
      <c r="F135" s="26"/>
      <c r="G135" s="26"/>
      <c r="H135" s="26"/>
      <c r="I135" s="194"/>
      <c r="J135" s="31"/>
      <c r="K135" s="32"/>
      <c r="L135" s="32"/>
      <c r="M135" s="32"/>
      <c r="N135" s="32"/>
      <c r="O135" s="32"/>
      <c r="P135" s="32"/>
    </row>
    <row r="136" spans="1:16" ht="19.5" x14ac:dyDescent="0.3">
      <c r="A136" s="131"/>
      <c r="B136" s="26"/>
      <c r="C136" s="195" t="s">
        <v>53</v>
      </c>
      <c r="D136" s="133"/>
      <c r="E136" s="26"/>
      <c r="F136" s="26"/>
      <c r="G136" s="29"/>
      <c r="H136" s="134" t="s">
        <v>54</v>
      </c>
      <c r="I136" s="135">
        <f ca="1">I154</f>
        <v>2</v>
      </c>
      <c r="J136" s="135">
        <f>J154</f>
        <v>0</v>
      </c>
      <c r="K136" s="33">
        <f ca="1">IF(I136&gt;0,J136*100/I136,0)</f>
        <v>0</v>
      </c>
      <c r="L136" s="32"/>
      <c r="M136" s="32"/>
      <c r="N136" s="32"/>
      <c r="O136" s="32"/>
      <c r="P136" s="32"/>
    </row>
    <row r="137" spans="1:16" ht="19.5" x14ac:dyDescent="0.3">
      <c r="A137" s="131"/>
      <c r="B137" s="26"/>
      <c r="C137" s="195" t="s">
        <v>55</v>
      </c>
      <c r="D137" s="133"/>
      <c r="E137" s="26"/>
      <c r="F137" s="26"/>
      <c r="G137" s="29"/>
      <c r="H137" s="134" t="s">
        <v>33</v>
      </c>
      <c r="I137" s="135">
        <f ca="1">I152</f>
        <v>50</v>
      </c>
      <c r="J137" s="135">
        <f>J152</f>
        <v>0</v>
      </c>
      <c r="K137" s="33">
        <f ca="1">IF(I137&gt;0,J137*100/I137,0)</f>
        <v>0</v>
      </c>
      <c r="L137" s="32"/>
      <c r="M137" s="32"/>
      <c r="N137" s="32"/>
      <c r="O137" s="32"/>
      <c r="P137" s="32"/>
    </row>
    <row r="138" spans="1:16" ht="19.5" x14ac:dyDescent="0.3">
      <c r="A138" s="131"/>
      <c r="B138" s="26"/>
      <c r="C138" s="193"/>
      <c r="D138" s="133"/>
      <c r="E138" s="26"/>
      <c r="F138" s="26"/>
      <c r="G138" s="29"/>
      <c r="H138" s="134" t="s">
        <v>56</v>
      </c>
      <c r="I138" s="135">
        <f ca="1">I153</f>
        <v>5</v>
      </c>
      <c r="J138" s="135">
        <f>J153</f>
        <v>0</v>
      </c>
      <c r="K138" s="33">
        <f ca="1">IF(I138&gt;0,J138*100/I138,0)</f>
        <v>0</v>
      </c>
      <c r="L138" s="32"/>
      <c r="M138" s="32"/>
      <c r="N138" s="32"/>
      <c r="O138" s="32"/>
      <c r="P138" s="32"/>
    </row>
    <row r="139" spans="1:16" ht="19.5" x14ac:dyDescent="0.3">
      <c r="A139" s="136"/>
      <c r="B139" s="41"/>
      <c r="C139" s="197" t="s">
        <v>16</v>
      </c>
      <c r="D139" s="397" t="s">
        <v>17</v>
      </c>
      <c r="E139" s="41"/>
      <c r="F139" s="41"/>
      <c r="G139" s="43"/>
      <c r="H139" s="139" t="s">
        <v>12</v>
      </c>
      <c r="I139" s="45"/>
      <c r="J139" s="45"/>
      <c r="K139" s="46"/>
      <c r="L139" s="140">
        <f ca="1">L140+L141</f>
        <v>83100</v>
      </c>
      <c r="M139" s="140">
        <f ca="1">M140+M141</f>
        <v>78100</v>
      </c>
      <c r="N139" s="140">
        <f ca="1">N140+N141</f>
        <v>0</v>
      </c>
      <c r="O139" s="140">
        <f ca="1">IF(L139&gt;0,N139*100/L139,0)</f>
        <v>0</v>
      </c>
      <c r="P139" s="140">
        <f ca="1">IF(M139&gt;0,N139*100/M139,0)</f>
        <v>0</v>
      </c>
    </row>
    <row r="140" spans="1:16" ht="18.75" hidden="1" x14ac:dyDescent="0.25">
      <c r="A140" s="136"/>
      <c r="B140" s="41"/>
      <c r="C140" s="41"/>
      <c r="D140" s="41"/>
      <c r="E140" s="279" t="s">
        <v>18</v>
      </c>
      <c r="F140" s="41"/>
      <c r="G140" s="43"/>
      <c r="H140" s="141" t="s">
        <v>12</v>
      </c>
      <c r="I140" s="45"/>
      <c r="J140" s="45"/>
      <c r="K140" s="46"/>
      <c r="L140" s="50">
        <f>L143+L146</f>
        <v>0</v>
      </c>
      <c r="M140" s="50">
        <f>M143+M146</f>
        <v>0</v>
      </c>
      <c r="N140" s="50">
        <f>N143+N146</f>
        <v>0</v>
      </c>
      <c r="O140" s="50">
        <f>IF(L140&gt;0,N140*100/L140,0)</f>
        <v>0</v>
      </c>
      <c r="P140" s="50">
        <f>IF(M140&gt;0,N140*100/M140,0)</f>
        <v>0</v>
      </c>
    </row>
    <row r="141" spans="1:16" ht="18.75" x14ac:dyDescent="0.25">
      <c r="A141" s="136"/>
      <c r="B141" s="41"/>
      <c r="C141" s="41"/>
      <c r="D141" s="41"/>
      <c r="E141" s="254" t="s">
        <v>19</v>
      </c>
      <c r="F141" s="41"/>
      <c r="G141" s="43"/>
      <c r="H141" s="142" t="s">
        <v>12</v>
      </c>
      <c r="I141" s="45"/>
      <c r="J141" s="45"/>
      <c r="K141" s="46"/>
      <c r="L141" s="47">
        <f ca="1">L144+L147</f>
        <v>83100</v>
      </c>
      <c r="M141" s="47">
        <f ca="1">M144+M147</f>
        <v>78100</v>
      </c>
      <c r="N141" s="47">
        <f ca="1">N144+N147</f>
        <v>0</v>
      </c>
      <c r="O141" s="47">
        <f ca="1">IF(L141&gt;0,N141*100/L141,0)</f>
        <v>0</v>
      </c>
      <c r="P141" s="47">
        <f ca="1">IF(M141&gt;0,N141*100/M141,0)</f>
        <v>0</v>
      </c>
    </row>
    <row r="142" spans="1:16" ht="18.75" x14ac:dyDescent="0.25">
      <c r="A142" s="136"/>
      <c r="B142" s="41"/>
      <c r="C142" s="41"/>
      <c r="D142" s="42" t="s">
        <v>20</v>
      </c>
      <c r="E142" s="41"/>
      <c r="F142" s="41"/>
      <c r="G142" s="43"/>
      <c r="H142" s="143" t="s">
        <v>12</v>
      </c>
      <c r="I142" s="144"/>
      <c r="J142" s="144"/>
      <c r="K142" s="145"/>
      <c r="L142" s="47">
        <f ca="1">L143+L144</f>
        <v>83100</v>
      </c>
      <c r="M142" s="47">
        <f ca="1">M143+M144</f>
        <v>78100</v>
      </c>
      <c r="N142" s="47">
        <f ca="1">N143+N144</f>
        <v>0</v>
      </c>
      <c r="O142" s="47">
        <f ca="1">IF(L142&gt;0,N142*100/L142,0)</f>
        <v>0</v>
      </c>
      <c r="P142" s="47">
        <f ca="1">IF(M142&gt;0,N142*100/M142,0)</f>
        <v>0</v>
      </c>
    </row>
    <row r="143" spans="1:16" ht="18.75" hidden="1" x14ac:dyDescent="0.25">
      <c r="A143" s="136"/>
      <c r="B143" s="41"/>
      <c r="C143" s="41"/>
      <c r="D143" s="41"/>
      <c r="E143" s="279" t="s">
        <v>34</v>
      </c>
      <c r="F143" s="41"/>
      <c r="G143" s="43"/>
      <c r="H143" s="146" t="s">
        <v>12</v>
      </c>
      <c r="I143" s="144"/>
      <c r="J143" s="144"/>
      <c r="K143" s="145"/>
      <c r="L143" s="50">
        <v>0</v>
      </c>
      <c r="M143" s="50">
        <v>0</v>
      </c>
      <c r="N143" s="50">
        <v>0</v>
      </c>
      <c r="O143" s="50">
        <f>IF(L143&gt;0,N143*100/L143,0)</f>
        <v>0</v>
      </c>
      <c r="P143" s="50">
        <f>IF(M143&gt;0,N143*100/M143,0)</f>
        <v>0</v>
      </c>
    </row>
    <row r="144" spans="1:16" ht="18.75" x14ac:dyDescent="0.25">
      <c r="A144" s="136"/>
      <c r="B144" s="41"/>
      <c r="C144" s="41"/>
      <c r="D144" s="41"/>
      <c r="E144" s="254" t="s">
        <v>35</v>
      </c>
      <c r="F144" s="41"/>
      <c r="G144" s="43"/>
      <c r="H144" s="143" t="s">
        <v>12</v>
      </c>
      <c r="I144" s="144"/>
      <c r="J144" s="144"/>
      <c r="K144" s="145"/>
      <c r="L144" s="47">
        <f ca="1">IFERROR(__xludf.DUMMYFUNCTION("IMPORTRANGE(""https://docs.google.com/spreadsheets/d/1-uDff_7J0KD5mKrp0Vvzr7lt3OU09vwQwhkpOPPYv2Y/edit?usp=sharing"",""งบพรบ!BQ19"")"),83100)</f>
        <v>83100</v>
      </c>
      <c r="M144" s="47">
        <f ca="1">IFERROR(__xludf.DUMMYFUNCTION("IMPORTRANGE(""https://docs.google.com/spreadsheets/d/1-uDff_7J0KD5mKrp0Vvzr7lt3OU09vwQwhkpOPPYv2Y/edit?usp=sharing"",""งบพรบ!BV19"")"),78100)</f>
        <v>78100</v>
      </c>
      <c r="N144" s="47">
        <f ca="1">IFERROR(__xludf.DUMMYFUNCTION("IMPORTRANGE(""https://docs.google.com/spreadsheets/d/1-uDff_7J0KD5mKrp0Vvzr7lt3OU09vwQwhkpOPPYv2Y/edit?usp=sharing"",""งบพรบ!BX19"")"),0)</f>
        <v>0</v>
      </c>
      <c r="O144" s="47">
        <f ca="1">IF(L144&gt;0,N144*100/L144,0)</f>
        <v>0</v>
      </c>
      <c r="P144" s="47">
        <f ca="1">IF(M144&gt;0,N144*100/M144,0)</f>
        <v>0</v>
      </c>
    </row>
    <row r="145" spans="1:16" ht="18.75" x14ac:dyDescent="0.25">
      <c r="A145" s="136"/>
      <c r="B145" s="41"/>
      <c r="C145" s="41"/>
      <c r="D145" s="42" t="s">
        <v>21</v>
      </c>
      <c r="E145" s="41"/>
      <c r="F145" s="41"/>
      <c r="G145" s="43"/>
      <c r="H145" s="147" t="s">
        <v>12</v>
      </c>
      <c r="I145" s="144"/>
      <c r="J145" s="144"/>
      <c r="K145" s="145"/>
      <c r="L145" s="47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</row>
    <row r="146" spans="1:16" ht="18.75" hidden="1" x14ac:dyDescent="0.25">
      <c r="A146" s="136"/>
      <c r="B146" s="41"/>
      <c r="C146" s="41"/>
      <c r="D146" s="41"/>
      <c r="E146" s="279" t="s">
        <v>18</v>
      </c>
      <c r="F146" s="41"/>
      <c r="G146" s="43"/>
      <c r="H146" s="146" t="s">
        <v>12</v>
      </c>
      <c r="I146" s="144"/>
      <c r="J146" s="144"/>
      <c r="K146" s="145"/>
      <c r="L146" s="50">
        <v>0</v>
      </c>
      <c r="M146" s="50">
        <v>0</v>
      </c>
      <c r="N146" s="50">
        <v>0</v>
      </c>
      <c r="O146" s="50">
        <f>IF(L146&gt;0,N146*100/L146,0)</f>
        <v>0</v>
      </c>
      <c r="P146" s="50">
        <f>IF(M146&gt;0,N146*100/M146,0)</f>
        <v>0</v>
      </c>
    </row>
    <row r="147" spans="1:16" ht="18.75" x14ac:dyDescent="0.25">
      <c r="A147" s="136"/>
      <c r="B147" s="41"/>
      <c r="C147" s="41"/>
      <c r="D147" s="41"/>
      <c r="E147" s="254" t="s">
        <v>19</v>
      </c>
      <c r="F147" s="41"/>
      <c r="G147" s="43"/>
      <c r="H147" s="147" t="s">
        <v>12</v>
      </c>
      <c r="I147" s="144"/>
      <c r="J147" s="144"/>
      <c r="K147" s="145"/>
      <c r="L147" s="47">
        <f ca="1">IFERROR(__xludf.DUMMYFUNCTION("IMPORTRANGE(""https://docs.google.com/spreadsheets/d/1-uDff_7J0KD5mKrp0Vvzr7lt3OU09vwQwhkpOPPYv2Y/edit?usp=sharing"",""งบพรบ!BT19"")"),0)</f>
        <v>0</v>
      </c>
      <c r="M147" s="47">
        <f ca="1">IFERROR(__xludf.DUMMYFUNCTION("IMPORTRANGE(""https://docs.google.com/spreadsheets/d/1-uDff_7J0KD5mKrp0Vvzr7lt3OU09vwQwhkpOPPYv2Y/edit?usp=sharing"",""งบพรบ!BW19"")"),0)</f>
        <v>0</v>
      </c>
      <c r="N147" s="47">
        <f ca="1">IFERROR(__xludf.DUMMYFUNCTION("IMPORTRANGE(""https://docs.google.com/spreadsheets/d/1-uDff_7J0KD5mKrp0Vvzr7lt3OU09vwQwhkpOPPYv2Y/edit?usp=sharing"",""งบพรบ!BY19"")"),0)</f>
        <v>0</v>
      </c>
      <c r="O147" s="47">
        <f ca="1">IF(L147&gt;0,N147*100/L147,0)</f>
        <v>0</v>
      </c>
      <c r="P147" s="47">
        <f ca="1">IF(M147&gt;0,N147*100/M147,0)</f>
        <v>0</v>
      </c>
    </row>
    <row r="148" spans="1:16" ht="19.5" x14ac:dyDescent="0.3">
      <c r="A148" s="148"/>
      <c r="B148" s="149"/>
      <c r="C148" s="197" t="s">
        <v>16</v>
      </c>
      <c r="D148" s="395" t="s">
        <v>36</v>
      </c>
      <c r="E148" s="151"/>
      <c r="F148" s="151"/>
      <c r="G148" s="152"/>
      <c r="H148" s="196"/>
      <c r="I148" s="45"/>
      <c r="J148" s="45"/>
      <c r="K148" s="46"/>
      <c r="L148" s="46"/>
      <c r="M148" s="46"/>
      <c r="N148" s="46"/>
      <c r="O148" s="46"/>
      <c r="P148" s="46"/>
    </row>
    <row r="149" spans="1:16" ht="18.75" x14ac:dyDescent="0.25">
      <c r="A149" s="136"/>
      <c r="B149" s="41"/>
      <c r="C149" s="41"/>
      <c r="D149" s="254" t="s">
        <v>57</v>
      </c>
      <c r="E149" s="41"/>
      <c r="F149" s="41"/>
      <c r="G149" s="43"/>
      <c r="H149" s="196"/>
      <c r="I149" s="45"/>
      <c r="J149" s="250">
        <v>0</v>
      </c>
      <c r="K149" s="46"/>
      <c r="L149" s="46"/>
      <c r="M149" s="46"/>
      <c r="N149" s="46"/>
      <c r="O149" s="46"/>
      <c r="P149" s="46"/>
    </row>
    <row r="150" spans="1:16" ht="19.5" x14ac:dyDescent="0.3">
      <c r="A150" s="136"/>
      <c r="B150" s="41"/>
      <c r="C150" s="41"/>
      <c r="D150" s="155"/>
      <c r="E150" s="197" t="s">
        <v>58</v>
      </c>
      <c r="F150" s="41"/>
      <c r="G150" s="43"/>
      <c r="H150" s="147" t="s">
        <v>33</v>
      </c>
      <c r="I150" s="169">
        <f ca="1">IFERROR(__xludf.DUMMYFUNCTION("IMPORTRANGE(""https://docs.google.com/spreadsheets/d/1eHaY18a8A9IcSdp1K8H6x8fbOy06t2VsZHhMHf-1x7Y/edit?usp=sharing"",""แผน!U19"")"),20)</f>
        <v>20</v>
      </c>
      <c r="J150" s="250">
        <v>0</v>
      </c>
      <c r="K150" s="47">
        <f ca="1">IF(I150&gt;0,J150*100/I150,0)</f>
        <v>0</v>
      </c>
      <c r="L150" s="46"/>
      <c r="M150" s="46"/>
      <c r="N150" s="46"/>
      <c r="O150" s="46"/>
      <c r="P150" s="46"/>
    </row>
    <row r="151" spans="1:16" ht="18.75" x14ac:dyDescent="0.25">
      <c r="A151" s="136"/>
      <c r="B151" s="41"/>
      <c r="C151" s="41"/>
      <c r="D151" s="155"/>
      <c r="E151" s="41"/>
      <c r="F151" s="41"/>
      <c r="G151" s="43"/>
      <c r="H151" s="147" t="s">
        <v>56</v>
      </c>
      <c r="I151" s="169">
        <f ca="1">IFERROR(__xludf.DUMMYFUNCTION("IMPORTRANGE(""https://docs.google.com/spreadsheets/d/1eHaY18a8A9IcSdp1K8H6x8fbOy06t2VsZHhMHf-1x7Y/edit?usp=sharing"",""แผน!V19"")"),2)</f>
        <v>2</v>
      </c>
      <c r="J151" s="250">
        <v>0</v>
      </c>
      <c r="K151" s="47">
        <f ca="1">IF(I151&gt;0,J151*100/I151,0)</f>
        <v>0</v>
      </c>
      <c r="L151" s="46"/>
      <c r="M151" s="46"/>
      <c r="N151" s="46"/>
      <c r="O151" s="46"/>
      <c r="P151" s="46"/>
    </row>
    <row r="152" spans="1:16" ht="19.5" x14ac:dyDescent="0.3">
      <c r="A152" s="136"/>
      <c r="B152" s="41"/>
      <c r="C152" s="41"/>
      <c r="D152" s="155"/>
      <c r="E152" s="197" t="s">
        <v>59</v>
      </c>
      <c r="F152" s="41"/>
      <c r="G152" s="43"/>
      <c r="H152" s="147" t="s">
        <v>33</v>
      </c>
      <c r="I152" s="169">
        <f ca="1">IFERROR(__xludf.DUMMYFUNCTION("IMPORTRANGE(""https://docs.google.com/spreadsheets/d/1eHaY18a8A9IcSdp1K8H6x8fbOy06t2VsZHhMHf-1x7Y/edit?usp=sharing"",""แผน!W19"")"),50)</f>
        <v>50</v>
      </c>
      <c r="J152" s="250">
        <v>0</v>
      </c>
      <c r="K152" s="47">
        <f ca="1">IF(I152&gt;0,J152*100/I152,0)</f>
        <v>0</v>
      </c>
      <c r="L152" s="46"/>
      <c r="M152" s="46"/>
      <c r="N152" s="46"/>
      <c r="O152" s="46"/>
      <c r="P152" s="46"/>
    </row>
    <row r="153" spans="1:16" ht="18.75" x14ac:dyDescent="0.25">
      <c r="A153" s="136"/>
      <c r="B153" s="41"/>
      <c r="C153" s="41"/>
      <c r="D153" s="41"/>
      <c r="E153" s="41"/>
      <c r="F153" s="41"/>
      <c r="G153" s="43"/>
      <c r="H153" s="147" t="s">
        <v>56</v>
      </c>
      <c r="I153" s="169">
        <f ca="1">IFERROR(__xludf.DUMMYFUNCTION("IMPORTRANGE(""https://docs.google.com/spreadsheets/d/1eHaY18a8A9IcSdp1K8H6x8fbOy06t2VsZHhMHf-1x7Y/edit?usp=sharing"",""แผน!X19"")"),5)</f>
        <v>5</v>
      </c>
      <c r="J153" s="250">
        <v>0</v>
      </c>
      <c r="K153" s="47">
        <f ca="1">IF(I153&gt;0,J153*100/I153,0)</f>
        <v>0</v>
      </c>
      <c r="L153" s="46"/>
      <c r="M153" s="46"/>
      <c r="N153" s="46"/>
      <c r="O153" s="46"/>
      <c r="P153" s="46"/>
    </row>
    <row r="154" spans="1:16" ht="18.75" x14ac:dyDescent="0.25">
      <c r="A154" s="136"/>
      <c r="B154" s="41"/>
      <c r="C154" s="41"/>
      <c r="D154" s="254" t="s">
        <v>60</v>
      </c>
      <c r="E154" s="41"/>
      <c r="F154" s="41"/>
      <c r="G154" s="43"/>
      <c r="H154" s="147" t="s">
        <v>54</v>
      </c>
      <c r="I154" s="169">
        <f ca="1">IFERROR(__xludf.DUMMYFUNCTION("IMPORTRANGE(""https://docs.google.com/spreadsheets/d/1eHaY18a8A9IcSdp1K8H6x8fbOy06t2VsZHhMHf-1x7Y/edit?usp=sharing"",""แผน!Y19"")"),2)</f>
        <v>2</v>
      </c>
      <c r="J154" s="250">
        <v>0</v>
      </c>
      <c r="K154" s="47">
        <f ca="1">IF(I154&gt;0,J154*100/I154,0)</f>
        <v>0</v>
      </c>
      <c r="L154" s="46"/>
      <c r="M154" s="46"/>
      <c r="N154" s="46"/>
      <c r="O154" s="46"/>
      <c r="P154" s="46"/>
    </row>
    <row r="155" spans="1:16" ht="19.5" hidden="1" x14ac:dyDescent="0.3">
      <c r="A155" s="125" t="s">
        <v>61</v>
      </c>
      <c r="B155" s="126"/>
      <c r="C155" s="190"/>
      <c r="D155" s="126"/>
      <c r="E155" s="126"/>
      <c r="F155" s="126"/>
      <c r="G155" s="126"/>
      <c r="H155" s="126"/>
      <c r="I155" s="191"/>
      <c r="J155" s="191"/>
      <c r="K155" s="192"/>
      <c r="L155" s="130"/>
      <c r="M155" s="130"/>
      <c r="N155" s="130"/>
      <c r="O155" s="130"/>
      <c r="P155" s="130"/>
    </row>
    <row r="156" spans="1:16" ht="19.5" hidden="1" x14ac:dyDescent="0.3">
      <c r="A156" s="131"/>
      <c r="B156" s="132" t="s">
        <v>62</v>
      </c>
      <c r="C156" s="26"/>
      <c r="D156" s="26"/>
      <c r="E156" s="26"/>
      <c r="F156" s="26"/>
      <c r="G156" s="29"/>
      <c r="H156" s="198" t="s">
        <v>33</v>
      </c>
      <c r="I156" s="135">
        <f ca="1">I169</f>
        <v>0</v>
      </c>
      <c r="J156" s="135">
        <f>J169</f>
        <v>0</v>
      </c>
      <c r="K156" s="33">
        <f ca="1">IF(I156&gt;0,J156*100/I156,0)</f>
        <v>0</v>
      </c>
      <c r="L156" s="32"/>
      <c r="M156" s="32"/>
      <c r="N156" s="32"/>
      <c r="O156" s="32"/>
      <c r="P156" s="32"/>
    </row>
    <row r="157" spans="1:16" ht="19.5" hidden="1" x14ac:dyDescent="0.3">
      <c r="A157" s="136"/>
      <c r="B157" s="41"/>
      <c r="C157" s="197" t="s">
        <v>16</v>
      </c>
      <c r="D157" s="397" t="s">
        <v>17</v>
      </c>
      <c r="E157" s="41"/>
      <c r="F157" s="41"/>
      <c r="G157" s="43"/>
      <c r="H157" s="139" t="s">
        <v>12</v>
      </c>
      <c r="I157" s="45"/>
      <c r="J157" s="45"/>
      <c r="K157" s="46"/>
      <c r="L157" s="140">
        <f ca="1">L158+L159</f>
        <v>0</v>
      </c>
      <c r="M157" s="140">
        <f ca="1">M158+M159</f>
        <v>0</v>
      </c>
      <c r="N157" s="140">
        <f ca="1">N158+N159</f>
        <v>0</v>
      </c>
      <c r="O157" s="140">
        <f ca="1">IF(L157&gt;0,N157*100/L157,0)</f>
        <v>0</v>
      </c>
      <c r="P157" s="140">
        <f ca="1">IF(M157&gt;0,N157*100/M157,0)</f>
        <v>0</v>
      </c>
    </row>
    <row r="158" spans="1:16" ht="18.75" hidden="1" x14ac:dyDescent="0.25">
      <c r="A158" s="136"/>
      <c r="B158" s="41"/>
      <c r="C158" s="41"/>
      <c r="D158" s="41"/>
      <c r="E158" s="279" t="s">
        <v>18</v>
      </c>
      <c r="F158" s="41"/>
      <c r="G158" s="43"/>
      <c r="H158" s="141" t="s">
        <v>12</v>
      </c>
      <c r="I158" s="45"/>
      <c r="J158" s="45"/>
      <c r="K158" s="46"/>
      <c r="L158" s="50">
        <f>L161+L164</f>
        <v>0</v>
      </c>
      <c r="M158" s="50">
        <f>M161+M164</f>
        <v>0</v>
      </c>
      <c r="N158" s="50">
        <f>N161+N164</f>
        <v>0</v>
      </c>
      <c r="O158" s="50">
        <f>IF(L158&gt;0,N158*100/L158,0)</f>
        <v>0</v>
      </c>
      <c r="P158" s="50">
        <f>IF(M158&gt;0,N158*100/M158,0)</f>
        <v>0</v>
      </c>
    </row>
    <row r="159" spans="1:16" ht="18.75" hidden="1" x14ac:dyDescent="0.25">
      <c r="A159" s="136"/>
      <c r="B159" s="41"/>
      <c r="C159" s="41"/>
      <c r="D159" s="41"/>
      <c r="E159" s="254" t="s">
        <v>19</v>
      </c>
      <c r="F159" s="41"/>
      <c r="G159" s="43"/>
      <c r="H159" s="142" t="s">
        <v>12</v>
      </c>
      <c r="I159" s="45"/>
      <c r="J159" s="45"/>
      <c r="K159" s="46"/>
      <c r="L159" s="47">
        <f ca="1">L162+L165</f>
        <v>0</v>
      </c>
      <c r="M159" s="47">
        <f ca="1">M162+M165</f>
        <v>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</row>
    <row r="160" spans="1:16" ht="18.75" hidden="1" x14ac:dyDescent="0.25">
      <c r="A160" s="136"/>
      <c r="B160" s="41"/>
      <c r="C160" s="41"/>
      <c r="D160" s="42" t="s">
        <v>20</v>
      </c>
      <c r="E160" s="41"/>
      <c r="F160" s="41"/>
      <c r="G160" s="43"/>
      <c r="H160" s="143" t="s">
        <v>12</v>
      </c>
      <c r="I160" s="144"/>
      <c r="J160" s="144"/>
      <c r="K160" s="145"/>
      <c r="L160" s="47">
        <f ca="1">L161+L162</f>
        <v>0</v>
      </c>
      <c r="M160" s="47">
        <f ca="1">M161+M162</f>
        <v>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</row>
    <row r="161" spans="1:16" ht="18.75" hidden="1" x14ac:dyDescent="0.25">
      <c r="A161" s="136"/>
      <c r="B161" s="41"/>
      <c r="C161" s="41"/>
      <c r="D161" s="41"/>
      <c r="E161" s="279" t="s">
        <v>34</v>
      </c>
      <c r="F161" s="41"/>
      <c r="G161" s="43"/>
      <c r="H161" s="146" t="s">
        <v>12</v>
      </c>
      <c r="I161" s="144"/>
      <c r="J161" s="144"/>
      <c r="K161" s="145"/>
      <c r="L161" s="50">
        <v>0</v>
      </c>
      <c r="M161" s="50">
        <v>0</v>
      </c>
      <c r="N161" s="50">
        <v>0</v>
      </c>
      <c r="O161" s="50">
        <f>IF(L161&gt;0,N161*100/L161,0)</f>
        <v>0</v>
      </c>
      <c r="P161" s="50">
        <f>IF(M161&gt;0,N161*100/M161,0)</f>
        <v>0</v>
      </c>
    </row>
    <row r="162" spans="1:16" ht="18.75" hidden="1" x14ac:dyDescent="0.25">
      <c r="A162" s="136"/>
      <c r="B162" s="41"/>
      <c r="C162" s="41"/>
      <c r="D162" s="41"/>
      <c r="E162" s="254" t="s">
        <v>35</v>
      </c>
      <c r="F162" s="41"/>
      <c r="G162" s="43"/>
      <c r="H162" s="143" t="s">
        <v>12</v>
      </c>
      <c r="I162" s="144"/>
      <c r="J162" s="144"/>
      <c r="K162" s="145"/>
      <c r="L162" s="47">
        <f ca="1">IFERROR(__xludf.DUMMYFUNCTION("IMPORTRANGE(""https://docs.google.com/spreadsheets/d/1-uDff_7J0KD5mKrp0Vvzr7lt3OU09vwQwhkpOPPYv2Y/edit?usp=sharing"",""งบพรบ!CA19"")"),0)</f>
        <v>0</v>
      </c>
      <c r="M162" s="47">
        <f ca="1">IFERROR(__xludf.DUMMYFUNCTION("IMPORTRANGE(""https://docs.google.com/spreadsheets/d/1-uDff_7J0KD5mKrp0Vvzr7lt3OU09vwQwhkpOPPYv2Y/edit?usp=sharing"",""งบพรบ!CF19"")"),0)</f>
        <v>0</v>
      </c>
      <c r="N162" s="47">
        <f ca="1">IFERROR(__xludf.DUMMYFUNCTION("IMPORTRANGE(""https://docs.google.com/spreadsheets/d/1-uDff_7J0KD5mKrp0Vvzr7lt3OU09vwQwhkpOPPYv2Y/edit?usp=sharing"",""งบพรบ!CH19"")"),0)</f>
        <v>0</v>
      </c>
      <c r="O162" s="47">
        <f ca="1">IF(L162&gt;0,N162*100/L162,0)</f>
        <v>0</v>
      </c>
      <c r="P162" s="47">
        <f ca="1">IF(M162&gt;0,N162*100/M162,0)</f>
        <v>0</v>
      </c>
    </row>
    <row r="163" spans="1:16" ht="18.75" hidden="1" x14ac:dyDescent="0.25">
      <c r="A163" s="136"/>
      <c r="B163" s="41"/>
      <c r="C163" s="41"/>
      <c r="D163" s="42" t="s">
        <v>21</v>
      </c>
      <c r="E163" s="41"/>
      <c r="F163" s="41"/>
      <c r="G163" s="43"/>
      <c r="H163" s="147" t="s">
        <v>12</v>
      </c>
      <c r="I163" s="144"/>
      <c r="J163" s="144"/>
      <c r="K163" s="145"/>
      <c r="L163" s="47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</row>
    <row r="164" spans="1:16" ht="18.75" hidden="1" x14ac:dyDescent="0.25">
      <c r="A164" s="136"/>
      <c r="B164" s="41"/>
      <c r="C164" s="41"/>
      <c r="D164" s="41"/>
      <c r="E164" s="279" t="s">
        <v>18</v>
      </c>
      <c r="F164" s="41"/>
      <c r="G164" s="43"/>
      <c r="H164" s="146" t="s">
        <v>12</v>
      </c>
      <c r="I164" s="144"/>
      <c r="J164" s="144"/>
      <c r="K164" s="145"/>
      <c r="L164" s="50">
        <v>0</v>
      </c>
      <c r="M164" s="50">
        <v>0</v>
      </c>
      <c r="N164" s="50">
        <v>0</v>
      </c>
      <c r="O164" s="50">
        <f>IF(L164&gt;0,N164*100/L164,0)</f>
        <v>0</v>
      </c>
      <c r="P164" s="50">
        <f>IF(M164&gt;0,N164*100/M164,0)</f>
        <v>0</v>
      </c>
    </row>
    <row r="165" spans="1:16" ht="18.75" hidden="1" x14ac:dyDescent="0.25">
      <c r="A165" s="136"/>
      <c r="B165" s="41"/>
      <c r="C165" s="41"/>
      <c r="D165" s="41"/>
      <c r="E165" s="254" t="s">
        <v>19</v>
      </c>
      <c r="F165" s="41"/>
      <c r="G165" s="43"/>
      <c r="H165" s="147" t="s">
        <v>12</v>
      </c>
      <c r="I165" s="144"/>
      <c r="J165" s="144"/>
      <c r="K165" s="145"/>
      <c r="L165" s="47">
        <f ca="1">IFERROR(__xludf.DUMMYFUNCTION("IMPORTRANGE(""https://docs.google.com/spreadsheets/d/1-uDff_7J0KD5mKrp0Vvzr7lt3OU09vwQwhkpOPPYv2Y/edit?usp=sharing"",""งบพรบ!CD19"")"),0)</f>
        <v>0</v>
      </c>
      <c r="M165" s="47">
        <f ca="1">IFERROR(__xludf.DUMMYFUNCTION("IMPORTRANGE(""https://docs.google.com/spreadsheets/d/1-uDff_7J0KD5mKrp0Vvzr7lt3OU09vwQwhkpOPPYv2Y/edit?usp=sharing"",""งบพรบ!CG19"")"),0)</f>
        <v>0</v>
      </c>
      <c r="N165" s="47">
        <f ca="1">IFERROR(__xludf.DUMMYFUNCTION("IMPORTRANGE(""https://docs.google.com/spreadsheets/d/1-uDff_7J0KD5mKrp0Vvzr7lt3OU09vwQwhkpOPPYv2Y/edit?usp=sharing"",""งบพรบ!CI19"")"),0)</f>
        <v>0</v>
      </c>
      <c r="O165" s="47">
        <f ca="1">IF(L165&gt;0,N165*100/L165,0)</f>
        <v>0</v>
      </c>
      <c r="P165" s="47">
        <f ca="1">IF(M165&gt;0,N165*100/M165,0)</f>
        <v>0</v>
      </c>
    </row>
    <row r="166" spans="1:16" ht="19.5" hidden="1" x14ac:dyDescent="0.3">
      <c r="A166" s="148"/>
      <c r="B166" s="149"/>
      <c r="C166" s="197" t="s">
        <v>16</v>
      </c>
      <c r="D166" s="395" t="s">
        <v>36</v>
      </c>
      <c r="E166" s="151"/>
      <c r="F166" s="151"/>
      <c r="G166" s="152"/>
      <c r="H166" s="196"/>
      <c r="I166" s="45"/>
      <c r="J166" s="45"/>
      <c r="K166" s="46"/>
      <c r="L166" s="46"/>
      <c r="M166" s="46"/>
      <c r="N166" s="46"/>
      <c r="O166" s="46"/>
      <c r="P166" s="46"/>
    </row>
    <row r="167" spans="1:16" ht="18.75" hidden="1" x14ac:dyDescent="0.25">
      <c r="A167" s="136"/>
      <c r="B167" s="41"/>
      <c r="C167" s="41"/>
      <c r="D167" s="254" t="s">
        <v>63</v>
      </c>
      <c r="E167" s="41"/>
      <c r="F167" s="41"/>
      <c r="G167" s="43"/>
      <c r="H167" s="147" t="s">
        <v>33</v>
      </c>
      <c r="I167" s="169">
        <f ca="1">IFERROR(__xludf.DUMMYFUNCTION("IMPORTRANGE(""https://docs.google.com/spreadsheets/d/1eHaY18a8A9IcSdp1K8H6x8fbOy06t2VsZHhMHf-1x7Y/edit?usp=sharing"",""แผน!Z19"")"),0)</f>
        <v>0</v>
      </c>
      <c r="J167" s="250">
        <v>0</v>
      </c>
      <c r="K167" s="47">
        <f ca="1">IF(I167&gt;0,J167*100/I167,0)</f>
        <v>0</v>
      </c>
      <c r="L167" s="46"/>
      <c r="M167" s="46"/>
      <c r="N167" s="46"/>
      <c r="O167" s="46"/>
      <c r="P167" s="46"/>
    </row>
    <row r="168" spans="1:16" ht="18.75" hidden="1" x14ac:dyDescent="0.25">
      <c r="A168" s="136"/>
      <c r="B168" s="41"/>
      <c r="C168" s="41"/>
      <c r="D168" s="279" t="s">
        <v>64</v>
      </c>
      <c r="E168" s="41"/>
      <c r="F168" s="41"/>
      <c r="G168" s="43"/>
      <c r="H168" s="199" t="s">
        <v>33</v>
      </c>
      <c r="I168" s="200">
        <f ca="1">IFERROR(__xludf.DUMMYFUNCTION("IMPORTRANGE(""https://docs.google.com/spreadsheets/d/1eHaY18a8A9IcSdp1K8H6x8fbOy06t2VsZHhMHf-1x7Y/edit?usp=sharing"",""แผน!Z19"")"),0)</f>
        <v>0</v>
      </c>
      <c r="J168" s="201">
        <v>0</v>
      </c>
      <c r="K168" s="50">
        <f ca="1">IF(I168&gt;0,J168*100/I168,0)</f>
        <v>0</v>
      </c>
      <c r="L168" s="46"/>
      <c r="M168" s="46"/>
      <c r="N168" s="46"/>
      <c r="O168" s="46"/>
      <c r="P168" s="46"/>
    </row>
    <row r="169" spans="1:16" ht="18.75" hidden="1" x14ac:dyDescent="0.25">
      <c r="A169" s="202"/>
      <c r="B169" s="1"/>
      <c r="C169" s="1"/>
      <c r="D169" s="203" t="s">
        <v>65</v>
      </c>
      <c r="E169" s="1"/>
      <c r="F169" s="1"/>
      <c r="G169" s="54"/>
      <c r="H169" s="204" t="s">
        <v>33</v>
      </c>
      <c r="I169" s="205">
        <f ca="1">IFERROR(__xludf.DUMMYFUNCTION("IMPORTRANGE(""https://docs.google.com/spreadsheets/d/1eHaY18a8A9IcSdp1K8H6x8fbOy06t2VsZHhMHf-1x7Y/edit?usp=sharing"",""แผน!Z19"")"),0)</f>
        <v>0</v>
      </c>
      <c r="J169" s="206">
        <v>0</v>
      </c>
      <c r="K169" s="207">
        <f ca="1">IF(I169&gt;0,J169*100/I169,0)</f>
        <v>0</v>
      </c>
      <c r="L169" s="57"/>
      <c r="M169" s="57"/>
      <c r="N169" s="57"/>
      <c r="O169" s="57"/>
      <c r="P169" s="57"/>
    </row>
    <row r="170" spans="1:16" ht="19.5" x14ac:dyDescent="0.3">
      <c r="A170" s="208" t="s">
        <v>66</v>
      </c>
      <c r="B170" s="209"/>
      <c r="C170" s="209"/>
      <c r="D170" s="209"/>
      <c r="E170" s="210"/>
      <c r="F170" s="210"/>
      <c r="G170" s="210"/>
      <c r="H170" s="210"/>
      <c r="I170" s="211"/>
      <c r="J170" s="211"/>
      <c r="K170" s="212"/>
      <c r="L170" s="212"/>
      <c r="M170" s="212"/>
      <c r="N170" s="212"/>
      <c r="O170" s="212"/>
      <c r="P170" s="213"/>
    </row>
    <row r="171" spans="1:16" ht="19.5" x14ac:dyDescent="0.3">
      <c r="A171" s="214" t="s">
        <v>67</v>
      </c>
      <c r="B171" s="215"/>
      <c r="C171" s="215"/>
      <c r="D171" s="216"/>
      <c r="E171" s="216"/>
      <c r="F171" s="216"/>
      <c r="G171" s="216"/>
      <c r="H171" s="217"/>
      <c r="I171" s="218"/>
      <c r="J171" s="218"/>
      <c r="K171" s="219"/>
      <c r="L171" s="219"/>
      <c r="M171" s="219"/>
      <c r="N171" s="219"/>
      <c r="O171" s="219"/>
      <c r="P171" s="219"/>
    </row>
    <row r="172" spans="1:16" ht="19.5" x14ac:dyDescent="0.3">
      <c r="A172" s="220"/>
      <c r="B172" s="221" t="s">
        <v>68</v>
      </c>
      <c r="C172" s="222"/>
      <c r="D172" s="151"/>
      <c r="E172" s="151"/>
      <c r="F172" s="151"/>
      <c r="G172" s="152"/>
      <c r="H172" s="223" t="s">
        <v>33</v>
      </c>
      <c r="I172" s="224">
        <f ca="1">I183+I184</f>
        <v>7</v>
      </c>
      <c r="J172" s="224">
        <f>J183+J184</f>
        <v>0</v>
      </c>
      <c r="K172" s="225">
        <f ca="1">IF(I172&gt;0,J172*100/I172,0)</f>
        <v>0</v>
      </c>
      <c r="L172" s="226"/>
      <c r="M172" s="226"/>
      <c r="N172" s="226"/>
      <c r="O172" s="226"/>
      <c r="P172" s="226"/>
    </row>
    <row r="173" spans="1:16" ht="19.5" x14ac:dyDescent="0.3">
      <c r="A173" s="136"/>
      <c r="B173" s="41"/>
      <c r="C173" s="197" t="s">
        <v>16</v>
      </c>
      <c r="D173" s="397" t="s">
        <v>17</v>
      </c>
      <c r="E173" s="41"/>
      <c r="F173" s="41"/>
      <c r="G173" s="43"/>
      <c r="H173" s="139" t="s">
        <v>12</v>
      </c>
      <c r="I173" s="45"/>
      <c r="J173" s="45"/>
      <c r="K173" s="46"/>
      <c r="L173" s="140">
        <f ca="1">L174+L175</f>
        <v>19590</v>
      </c>
      <c r="M173" s="140">
        <f ca="1">M174+M175</f>
        <v>19590</v>
      </c>
      <c r="N173" s="140">
        <f ca="1">N174+N175</f>
        <v>0</v>
      </c>
      <c r="O173" s="140">
        <f ca="1">IF(L173&gt;0,N173*100/L173,0)</f>
        <v>0</v>
      </c>
      <c r="P173" s="140">
        <f ca="1">IF(M173&gt;0,N173*100/M173,0)</f>
        <v>0</v>
      </c>
    </row>
    <row r="174" spans="1:16" ht="18.75" hidden="1" x14ac:dyDescent="0.25">
      <c r="A174" s="136"/>
      <c r="B174" s="41"/>
      <c r="C174" s="41"/>
      <c r="D174" s="41"/>
      <c r="E174" s="279" t="s">
        <v>18</v>
      </c>
      <c r="F174" s="41"/>
      <c r="G174" s="43"/>
      <c r="H174" s="141" t="s">
        <v>12</v>
      </c>
      <c r="I174" s="45"/>
      <c r="J174" s="45"/>
      <c r="K174" s="46"/>
      <c r="L174" s="50">
        <f>L177+L180</f>
        <v>0</v>
      </c>
      <c r="M174" s="50">
        <f>M177+M180</f>
        <v>0</v>
      </c>
      <c r="N174" s="50">
        <f>N177+N180</f>
        <v>0</v>
      </c>
      <c r="O174" s="50">
        <f>IF(L174&gt;0,N174*100/L174,0)</f>
        <v>0</v>
      </c>
      <c r="P174" s="50">
        <f>IF(M174&gt;0,N174*100/M174,0)</f>
        <v>0</v>
      </c>
    </row>
    <row r="175" spans="1:16" ht="18.75" x14ac:dyDescent="0.25">
      <c r="A175" s="136"/>
      <c r="B175" s="41"/>
      <c r="C175" s="41"/>
      <c r="D175" s="41"/>
      <c r="E175" s="254" t="s">
        <v>19</v>
      </c>
      <c r="F175" s="41"/>
      <c r="G175" s="43"/>
      <c r="H175" s="142" t="s">
        <v>12</v>
      </c>
      <c r="I175" s="45"/>
      <c r="J175" s="45"/>
      <c r="K175" s="46"/>
      <c r="L175" s="47">
        <f ca="1">L178+L181</f>
        <v>19590</v>
      </c>
      <c r="M175" s="47">
        <f ca="1">M178+M181</f>
        <v>19590</v>
      </c>
      <c r="N175" s="47">
        <f ca="1">N178+N181</f>
        <v>0</v>
      </c>
      <c r="O175" s="47">
        <f ca="1">IF(L175&gt;0,N175*100/L175,0)</f>
        <v>0</v>
      </c>
      <c r="P175" s="47">
        <f ca="1">IF(M175&gt;0,N175*100/M175,0)</f>
        <v>0</v>
      </c>
    </row>
    <row r="176" spans="1:16" ht="18.75" x14ac:dyDescent="0.25">
      <c r="A176" s="136"/>
      <c r="B176" s="41"/>
      <c r="C176" s="41"/>
      <c r="D176" s="42" t="s">
        <v>20</v>
      </c>
      <c r="E176" s="41"/>
      <c r="F176" s="41"/>
      <c r="G176" s="43"/>
      <c r="H176" s="143" t="s">
        <v>12</v>
      </c>
      <c r="I176" s="144"/>
      <c r="J176" s="144"/>
      <c r="K176" s="145"/>
      <c r="L176" s="47">
        <f ca="1">L177+L178</f>
        <v>19590</v>
      </c>
      <c r="M176" s="47">
        <f ca="1">M177+M178</f>
        <v>19590</v>
      </c>
      <c r="N176" s="47">
        <f ca="1">N177+N178</f>
        <v>0</v>
      </c>
      <c r="O176" s="47">
        <f ca="1">IF(L176&gt;0,N176*100/L176,0)</f>
        <v>0</v>
      </c>
      <c r="P176" s="47">
        <f ca="1">IF(M176&gt;0,N176*100/M176,0)</f>
        <v>0</v>
      </c>
    </row>
    <row r="177" spans="1:16" ht="18.75" hidden="1" x14ac:dyDescent="0.25">
      <c r="A177" s="136"/>
      <c r="B177" s="41"/>
      <c r="C177" s="41"/>
      <c r="D177" s="41"/>
      <c r="E177" s="279" t="s">
        <v>34</v>
      </c>
      <c r="F177" s="41"/>
      <c r="G177" s="43"/>
      <c r="H177" s="146" t="s">
        <v>12</v>
      </c>
      <c r="I177" s="144"/>
      <c r="J177" s="144"/>
      <c r="K177" s="145"/>
      <c r="L177" s="50">
        <v>0</v>
      </c>
      <c r="M177" s="50">
        <v>0</v>
      </c>
      <c r="N177" s="50">
        <v>0</v>
      </c>
      <c r="O177" s="50">
        <f>IF(L177&gt;0,N177*100/L177,0)</f>
        <v>0</v>
      </c>
      <c r="P177" s="50">
        <f>IF(M177&gt;0,N177*100/M177,0)</f>
        <v>0</v>
      </c>
    </row>
    <row r="178" spans="1:16" ht="18.75" x14ac:dyDescent="0.25">
      <c r="A178" s="136"/>
      <c r="B178" s="41"/>
      <c r="C178" s="41"/>
      <c r="D178" s="41"/>
      <c r="E178" s="254" t="s">
        <v>35</v>
      </c>
      <c r="F178" s="41"/>
      <c r="G178" s="43"/>
      <c r="H178" s="143" t="s">
        <v>12</v>
      </c>
      <c r="I178" s="144"/>
      <c r="J178" s="144"/>
      <c r="K178" s="145"/>
      <c r="L178" s="47">
        <f ca="1">IFERROR(__xludf.DUMMYFUNCTION("IMPORTRANGE(""https://docs.google.com/spreadsheets/d/1-uDff_7J0KD5mKrp0Vvzr7lt3OU09vwQwhkpOPPYv2Y/edit?usp=sharing"",""งบพรบ!CK19"")"),19590)</f>
        <v>19590</v>
      </c>
      <c r="M178" s="47">
        <f ca="1">IFERROR(__xludf.DUMMYFUNCTION("IMPORTRANGE(""https://docs.google.com/spreadsheets/d/1-uDff_7J0KD5mKrp0Vvzr7lt3OU09vwQwhkpOPPYv2Y/edit?usp=sharing"",""งบพรบ!CP19"")"),19590)</f>
        <v>19590</v>
      </c>
      <c r="N178" s="47">
        <f ca="1">IFERROR(__xludf.DUMMYFUNCTION("IMPORTRANGE(""https://docs.google.com/spreadsheets/d/1-uDff_7J0KD5mKrp0Vvzr7lt3OU09vwQwhkpOPPYv2Y/edit?usp=sharing"",""งบพรบ!CR19"")"),0)</f>
        <v>0</v>
      </c>
      <c r="O178" s="47">
        <f ca="1">IF(L178&gt;0,N178*100/L178,0)</f>
        <v>0</v>
      </c>
      <c r="P178" s="47">
        <f ca="1">IF(M178&gt;0,N178*100/M178,0)</f>
        <v>0</v>
      </c>
    </row>
    <row r="179" spans="1:16" ht="18.75" x14ac:dyDescent="0.25">
      <c r="A179" s="136"/>
      <c r="B179" s="41"/>
      <c r="C179" s="41"/>
      <c r="D179" s="42" t="s">
        <v>21</v>
      </c>
      <c r="E179" s="41"/>
      <c r="F179" s="41"/>
      <c r="G179" s="43"/>
      <c r="H179" s="147" t="s">
        <v>12</v>
      </c>
      <c r="I179" s="144"/>
      <c r="J179" s="144"/>
      <c r="K179" s="145"/>
      <c r="L179" s="47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</row>
    <row r="180" spans="1:16" ht="18.75" hidden="1" x14ac:dyDescent="0.25">
      <c r="A180" s="136"/>
      <c r="B180" s="41"/>
      <c r="C180" s="41"/>
      <c r="D180" s="41"/>
      <c r="E180" s="279" t="s">
        <v>18</v>
      </c>
      <c r="F180" s="41"/>
      <c r="G180" s="43"/>
      <c r="H180" s="146" t="s">
        <v>12</v>
      </c>
      <c r="I180" s="144"/>
      <c r="J180" s="144"/>
      <c r="K180" s="145"/>
      <c r="L180" s="50">
        <v>0</v>
      </c>
      <c r="M180" s="50">
        <v>0</v>
      </c>
      <c r="N180" s="50">
        <v>0</v>
      </c>
      <c r="O180" s="50">
        <f>IF(L180&gt;0,N180*100/L180,0)</f>
        <v>0</v>
      </c>
      <c r="P180" s="50">
        <f>IF(M180&gt;0,N180*100/M180,0)</f>
        <v>0</v>
      </c>
    </row>
    <row r="181" spans="1:16" ht="18.75" x14ac:dyDescent="0.25">
      <c r="A181" s="136"/>
      <c r="B181" s="41"/>
      <c r="C181" s="41"/>
      <c r="D181" s="41"/>
      <c r="E181" s="254" t="s">
        <v>19</v>
      </c>
      <c r="F181" s="41"/>
      <c r="G181" s="43"/>
      <c r="H181" s="147" t="s">
        <v>12</v>
      </c>
      <c r="I181" s="144"/>
      <c r="J181" s="144"/>
      <c r="K181" s="145"/>
      <c r="L181" s="47">
        <f ca="1">IFERROR(__xludf.DUMMYFUNCTION("IMPORTRANGE(""https://docs.google.com/spreadsheets/d/1-uDff_7J0KD5mKrp0Vvzr7lt3OU09vwQwhkpOPPYv2Y/edit?usp=sharing"",""งบพรบ!CN19"")"),0)</f>
        <v>0</v>
      </c>
      <c r="M181" s="47">
        <f ca="1">IFERROR(__xludf.DUMMYFUNCTION("IMPORTRANGE(""https://docs.google.com/spreadsheets/d/1-uDff_7J0KD5mKrp0Vvzr7lt3OU09vwQwhkpOPPYv2Y/edit?usp=sharing"",""งบพรบ!CQ19"")"),0)</f>
        <v>0</v>
      </c>
      <c r="N181" s="47">
        <f ca="1">IFERROR(__xludf.DUMMYFUNCTION("IMPORTRANGE(""https://docs.google.com/spreadsheets/d/1-uDff_7J0KD5mKrp0Vvzr7lt3OU09vwQwhkpOPPYv2Y/edit?usp=sharing"",""งบพรบ!CS19"")"),0)</f>
        <v>0</v>
      </c>
      <c r="O181" s="47">
        <f ca="1">IF(L181&gt;0,N181*100/L181,0)</f>
        <v>0</v>
      </c>
      <c r="P181" s="47">
        <f ca="1">IF(M181&gt;0,N181*100/M181,0)</f>
        <v>0</v>
      </c>
    </row>
    <row r="182" spans="1:16" ht="19.5" x14ac:dyDescent="0.3">
      <c r="A182" s="148"/>
      <c r="B182" s="149"/>
      <c r="C182" s="197" t="s">
        <v>16</v>
      </c>
      <c r="D182" s="395" t="s">
        <v>36</v>
      </c>
      <c r="E182" s="151"/>
      <c r="F182" s="151"/>
      <c r="G182" s="152"/>
      <c r="H182" s="196"/>
      <c r="I182" s="45"/>
      <c r="J182" s="45"/>
      <c r="K182" s="46"/>
      <c r="L182" s="46"/>
      <c r="M182" s="46"/>
      <c r="N182" s="46"/>
      <c r="O182" s="46"/>
      <c r="P182" s="46"/>
    </row>
    <row r="183" spans="1:16" ht="18.75" x14ac:dyDescent="0.25">
      <c r="A183" s="227"/>
      <c r="B183" s="41"/>
      <c r="C183" s="228"/>
      <c r="D183" s="229" t="s">
        <v>69</v>
      </c>
      <c r="E183" s="41"/>
      <c r="F183" s="41"/>
      <c r="G183" s="43"/>
      <c r="H183" s="230" t="s">
        <v>33</v>
      </c>
      <c r="I183" s="169">
        <f ca="1">IFERROR(__xludf.DUMMYFUNCTION("IMPORTRANGE(""https://docs.google.com/spreadsheets/d/1eHaY18a8A9IcSdp1K8H6x8fbOy06t2VsZHhMHf-1x7Y/edit?usp=sharing"",""แผน!AA19"")"),7)</f>
        <v>7</v>
      </c>
      <c r="J183" s="250">
        <v>0</v>
      </c>
      <c r="K183" s="47">
        <f ca="1">IF(I183&gt;0,J183*100/I183,0)</f>
        <v>0</v>
      </c>
      <c r="L183" s="46"/>
      <c r="M183" s="46"/>
      <c r="N183" s="46"/>
      <c r="O183" s="46"/>
      <c r="P183" s="46"/>
    </row>
    <row r="184" spans="1:16" ht="18.75" hidden="1" x14ac:dyDescent="0.25">
      <c r="A184" s="227"/>
      <c r="B184" s="228"/>
      <c r="C184" s="228"/>
      <c r="D184" s="231" t="s">
        <v>70</v>
      </c>
      <c r="E184" s="41"/>
      <c r="F184" s="41"/>
      <c r="G184" s="43"/>
      <c r="H184" s="232" t="s">
        <v>33</v>
      </c>
      <c r="I184" s="200">
        <v>0</v>
      </c>
      <c r="J184" s="200">
        <v>0</v>
      </c>
      <c r="K184" s="50">
        <f>IF(I184&gt;0,J184*100/I184,0)</f>
        <v>0</v>
      </c>
      <c r="L184" s="46"/>
      <c r="M184" s="46"/>
      <c r="N184" s="46"/>
      <c r="O184" s="46"/>
      <c r="P184" s="46"/>
    </row>
    <row r="185" spans="1:16" ht="19.5" x14ac:dyDescent="0.3">
      <c r="A185" s="220"/>
      <c r="B185" s="221" t="s">
        <v>71</v>
      </c>
      <c r="C185" s="222"/>
      <c r="D185" s="151"/>
      <c r="E185" s="151"/>
      <c r="F185" s="151"/>
      <c r="G185" s="152"/>
      <c r="H185" s="223" t="s">
        <v>33</v>
      </c>
      <c r="I185" s="224">
        <f ca="1">I230+I231</f>
        <v>70</v>
      </c>
      <c r="J185" s="224">
        <f>J230+J231</f>
        <v>0</v>
      </c>
      <c r="K185" s="225">
        <f ca="1">IF(I185&gt;0,J185*100/I185,0)</f>
        <v>0</v>
      </c>
      <c r="L185" s="226"/>
      <c r="M185" s="226"/>
      <c r="N185" s="226"/>
      <c r="O185" s="226"/>
      <c r="P185" s="226"/>
    </row>
    <row r="186" spans="1:16" ht="19.5" x14ac:dyDescent="0.3">
      <c r="A186" s="136"/>
      <c r="B186" s="41"/>
      <c r="C186" s="197" t="s">
        <v>16</v>
      </c>
      <c r="D186" s="397" t="s">
        <v>17</v>
      </c>
      <c r="E186" s="41"/>
      <c r="F186" s="41"/>
      <c r="G186" s="43"/>
      <c r="H186" s="139" t="s">
        <v>12</v>
      </c>
      <c r="I186" s="45"/>
      <c r="J186" s="45"/>
      <c r="K186" s="46"/>
      <c r="L186" s="140">
        <f ca="1">L187+L188</f>
        <v>389800</v>
      </c>
      <c r="M186" s="140">
        <f ca="1">M187+M188</f>
        <v>312800</v>
      </c>
      <c r="N186" s="140">
        <f ca="1">N187+N188</f>
        <v>25593</v>
      </c>
      <c r="O186" s="140">
        <f ca="1">IF(L186&gt;0,N186*100/L186,0)</f>
        <v>6.5656747049769111</v>
      </c>
      <c r="P186" s="140">
        <f ca="1">IF(M186&gt;0,N186*100/M186,0)</f>
        <v>8.1819053708439906</v>
      </c>
    </row>
    <row r="187" spans="1:16" ht="18.75" hidden="1" x14ac:dyDescent="0.25">
      <c r="A187" s="136"/>
      <c r="B187" s="41"/>
      <c r="C187" s="41"/>
      <c r="D187" s="41"/>
      <c r="E187" s="279" t="s">
        <v>18</v>
      </c>
      <c r="F187" s="41"/>
      <c r="G187" s="43"/>
      <c r="H187" s="141" t="s">
        <v>12</v>
      </c>
      <c r="I187" s="45"/>
      <c r="J187" s="45"/>
      <c r="K187" s="46"/>
      <c r="L187" s="50">
        <f>L190+L193</f>
        <v>0</v>
      </c>
      <c r="M187" s="50">
        <f>M190+M193</f>
        <v>0</v>
      </c>
      <c r="N187" s="50">
        <f>N190+N193</f>
        <v>0</v>
      </c>
      <c r="O187" s="50">
        <f>IF(L187&gt;0,N187*100/L187,0)</f>
        <v>0</v>
      </c>
      <c r="P187" s="50">
        <f>IF(M187&gt;0,N187*100/M187,0)</f>
        <v>0</v>
      </c>
    </row>
    <row r="188" spans="1:16" ht="18.75" x14ac:dyDescent="0.25">
      <c r="A188" s="136"/>
      <c r="B188" s="41"/>
      <c r="C188" s="41"/>
      <c r="D188" s="41"/>
      <c r="E188" s="254" t="s">
        <v>19</v>
      </c>
      <c r="F188" s="41"/>
      <c r="G188" s="43"/>
      <c r="H188" s="142" t="s">
        <v>12</v>
      </c>
      <c r="I188" s="45"/>
      <c r="J188" s="45"/>
      <c r="K188" s="46"/>
      <c r="L188" s="47">
        <f ca="1">L191+L194</f>
        <v>389800</v>
      </c>
      <c r="M188" s="47">
        <f ca="1">M191+M194</f>
        <v>312800</v>
      </c>
      <c r="N188" s="47">
        <f ca="1">N191+N194</f>
        <v>25593</v>
      </c>
      <c r="O188" s="47">
        <f ca="1">IF(L188&gt;0,N188*100/L188,0)</f>
        <v>6.5656747049769111</v>
      </c>
      <c r="P188" s="47">
        <f ca="1">IF(M188&gt;0,N188*100/M188,0)</f>
        <v>8.1819053708439906</v>
      </c>
    </row>
    <row r="189" spans="1:16" ht="18.75" x14ac:dyDescent="0.25">
      <c r="A189" s="136"/>
      <c r="B189" s="41"/>
      <c r="C189" s="41"/>
      <c r="D189" s="42" t="s">
        <v>20</v>
      </c>
      <c r="E189" s="41"/>
      <c r="F189" s="41"/>
      <c r="G189" s="43"/>
      <c r="H189" s="143" t="s">
        <v>12</v>
      </c>
      <c r="I189" s="144"/>
      <c r="J189" s="144"/>
      <c r="K189" s="145"/>
      <c r="L189" s="47">
        <f ca="1">L190+L191</f>
        <v>389800</v>
      </c>
      <c r="M189" s="47">
        <f ca="1">M190+M191</f>
        <v>312800</v>
      </c>
      <c r="N189" s="47">
        <f ca="1">N190+N191</f>
        <v>25593</v>
      </c>
      <c r="O189" s="47">
        <f ca="1">IF(L189&gt;0,N189*100/L189,0)</f>
        <v>6.5656747049769111</v>
      </c>
      <c r="P189" s="47">
        <f ca="1">IF(M189&gt;0,N189*100/M189,0)</f>
        <v>8.1819053708439906</v>
      </c>
    </row>
    <row r="190" spans="1:16" ht="18.75" hidden="1" x14ac:dyDescent="0.25">
      <c r="A190" s="136"/>
      <c r="B190" s="41"/>
      <c r="C190" s="41"/>
      <c r="D190" s="41"/>
      <c r="E190" s="279" t="s">
        <v>34</v>
      </c>
      <c r="F190" s="41"/>
      <c r="G190" s="43"/>
      <c r="H190" s="146" t="s">
        <v>12</v>
      </c>
      <c r="I190" s="144"/>
      <c r="J190" s="144"/>
      <c r="K190" s="145"/>
      <c r="L190" s="50">
        <v>0</v>
      </c>
      <c r="M190" s="50">
        <v>0</v>
      </c>
      <c r="N190" s="50">
        <v>0</v>
      </c>
      <c r="O190" s="50">
        <f>IF(L190&gt;0,N190*100/L190,0)</f>
        <v>0</v>
      </c>
      <c r="P190" s="50">
        <f>IF(M190&gt;0,N190*100/M190,0)</f>
        <v>0</v>
      </c>
    </row>
    <row r="191" spans="1:16" ht="18.75" x14ac:dyDescent="0.25">
      <c r="A191" s="136"/>
      <c r="B191" s="41"/>
      <c r="C191" s="41"/>
      <c r="D191" s="41"/>
      <c r="E191" s="254" t="s">
        <v>35</v>
      </c>
      <c r="F191" s="41"/>
      <c r="G191" s="43"/>
      <c r="H191" s="143" t="s">
        <v>12</v>
      </c>
      <c r="I191" s="144"/>
      <c r="J191" s="144"/>
      <c r="K191" s="145"/>
      <c r="L191" s="47">
        <f ca="1">IFERROR(__xludf.DUMMYFUNCTION("IMPORTRANGE(""https://docs.google.com/spreadsheets/d/1-uDff_7J0KD5mKrp0Vvzr7lt3OU09vwQwhkpOPPYv2Y/edit?usp=sharing"",""งบพรบ!CU19"")"),389800)</f>
        <v>389800</v>
      </c>
      <c r="M191" s="47">
        <f ca="1">IFERROR(__xludf.DUMMYFUNCTION("IMPORTRANGE(""https://docs.google.com/spreadsheets/d/1-uDff_7J0KD5mKrp0Vvzr7lt3OU09vwQwhkpOPPYv2Y/edit?usp=sharing"",""งบพรบ!CZ19"")"),312800)</f>
        <v>312800</v>
      </c>
      <c r="N191" s="47">
        <f ca="1">IFERROR(__xludf.DUMMYFUNCTION("IMPORTRANGE(""https://docs.google.com/spreadsheets/d/1-uDff_7J0KD5mKrp0Vvzr7lt3OU09vwQwhkpOPPYv2Y/edit?usp=sharing"",""งบพรบ!DB19"")"),25593)</f>
        <v>25593</v>
      </c>
      <c r="O191" s="47">
        <f ca="1">IF(L191&gt;0,N191*100/L191,0)</f>
        <v>6.5656747049769111</v>
      </c>
      <c r="P191" s="47">
        <f ca="1">IF(M191&gt;0,N191*100/M191,0)</f>
        <v>8.1819053708439906</v>
      </c>
    </row>
    <row r="192" spans="1:16" ht="18.75" x14ac:dyDescent="0.25">
      <c r="A192" s="136"/>
      <c r="B192" s="41"/>
      <c r="C192" s="41"/>
      <c r="D192" s="42" t="s">
        <v>21</v>
      </c>
      <c r="E192" s="41"/>
      <c r="F192" s="41"/>
      <c r="G192" s="43"/>
      <c r="H192" s="147" t="s">
        <v>12</v>
      </c>
      <c r="I192" s="144"/>
      <c r="J192" s="144"/>
      <c r="K192" s="145"/>
      <c r="L192" s="47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</row>
    <row r="193" spans="1:16" ht="18.75" hidden="1" x14ac:dyDescent="0.25">
      <c r="A193" s="136"/>
      <c r="B193" s="41"/>
      <c r="C193" s="41"/>
      <c r="D193" s="41"/>
      <c r="E193" s="279" t="s">
        <v>18</v>
      </c>
      <c r="F193" s="41"/>
      <c r="G193" s="43"/>
      <c r="H193" s="146" t="s">
        <v>12</v>
      </c>
      <c r="I193" s="144"/>
      <c r="J193" s="144"/>
      <c r="K193" s="145"/>
      <c r="L193" s="50">
        <v>0</v>
      </c>
      <c r="M193" s="50">
        <v>0</v>
      </c>
      <c r="N193" s="50">
        <v>0</v>
      </c>
      <c r="O193" s="50">
        <f>IF(L193&gt;0,N193*100/L193,0)</f>
        <v>0</v>
      </c>
      <c r="P193" s="50">
        <f>IF(M193&gt;0,N193*100/M193,0)</f>
        <v>0</v>
      </c>
    </row>
    <row r="194" spans="1:16" ht="18.75" x14ac:dyDescent="0.25">
      <c r="A194" s="136"/>
      <c r="B194" s="41"/>
      <c r="C194" s="41"/>
      <c r="D194" s="41"/>
      <c r="E194" s="254" t="s">
        <v>19</v>
      </c>
      <c r="F194" s="41"/>
      <c r="G194" s="43"/>
      <c r="H194" s="147" t="s">
        <v>12</v>
      </c>
      <c r="I194" s="144"/>
      <c r="J194" s="144"/>
      <c r="K194" s="145"/>
      <c r="L194" s="47">
        <f ca="1">IFERROR(__xludf.DUMMYFUNCTION("IMPORTRANGE(""https://docs.google.com/spreadsheets/d/1-uDff_7J0KD5mKrp0Vvzr7lt3OU09vwQwhkpOPPYv2Y/edit?usp=sharing"",""งบพรบ!CX19"")"),0)</f>
        <v>0</v>
      </c>
      <c r="M194" s="47">
        <f ca="1">IFERROR(__xludf.DUMMYFUNCTION("IMPORTRANGE(""https://docs.google.com/spreadsheets/d/1-uDff_7J0KD5mKrp0Vvzr7lt3OU09vwQwhkpOPPYv2Y/edit?usp=sharing"",""งบพรบ!DA19"")"),0)</f>
        <v>0</v>
      </c>
      <c r="N194" s="47">
        <f ca="1">IFERROR(__xludf.DUMMYFUNCTION("IMPORTRANGE(""https://docs.google.com/spreadsheets/d/1-uDff_7J0KD5mKrp0Vvzr7lt3OU09vwQwhkpOPPYv2Y/edit?usp=sharing"",""งบพรบ!DC19"")"),0)</f>
        <v>0</v>
      </c>
      <c r="O194" s="47">
        <f ca="1">IF(L194&gt;0,N194*100/L194,0)</f>
        <v>0</v>
      </c>
      <c r="P194" s="47">
        <f ca="1">IF(M194&gt;0,N194*100/M194,0)</f>
        <v>0</v>
      </c>
    </row>
    <row r="195" spans="1:16" ht="19.5" x14ac:dyDescent="0.3">
      <c r="A195" s="233"/>
      <c r="B195" s="234"/>
      <c r="C195" s="235" t="s">
        <v>72</v>
      </c>
      <c r="D195" s="236"/>
      <c r="E195" s="236"/>
      <c r="F195" s="236"/>
      <c r="G195" s="237"/>
      <c r="H195" s="238" t="s">
        <v>73</v>
      </c>
      <c r="I195" s="239">
        <f ca="1">I198</f>
        <v>4</v>
      </c>
      <c r="J195" s="239">
        <f>J198</f>
        <v>0</v>
      </c>
      <c r="K195" s="240">
        <f ca="1">IF(I195&gt;0,J195*100/I195,0)</f>
        <v>0</v>
      </c>
      <c r="L195" s="241"/>
      <c r="M195" s="241"/>
      <c r="N195" s="241"/>
      <c r="O195" s="241"/>
      <c r="P195" s="241"/>
    </row>
    <row r="196" spans="1:16" ht="19.5" x14ac:dyDescent="0.3">
      <c r="A196" s="136"/>
      <c r="B196" s="41"/>
      <c r="C196" s="197" t="s">
        <v>16</v>
      </c>
      <c r="D196" s="400" t="s">
        <v>17</v>
      </c>
      <c r="E196" s="41"/>
      <c r="F196" s="41"/>
      <c r="G196" s="43"/>
      <c r="H196" s="243" t="s">
        <v>12</v>
      </c>
      <c r="I196" s="45"/>
      <c r="J196" s="45"/>
      <c r="K196" s="46"/>
      <c r="L196" s="140">
        <f ca="1">IFERROR(__xludf.DUMMYFUNCTION("IMPORTRANGE(""https://docs.google.com/spreadsheets/d/1eHaY18a8A9IcSdp1K8H6x8fbOy06t2VsZHhMHf-1x7Y/edit?usp=sharing"",""แผน!AB19"")"),6000)</f>
        <v>6000</v>
      </c>
      <c r="M196" s="46"/>
      <c r="N196" s="244">
        <v>0</v>
      </c>
      <c r="O196" s="140">
        <f ca="1">IF(L196&gt;0,N196*100/L196,0)</f>
        <v>0</v>
      </c>
      <c r="P196" s="140">
        <f>IF(M196&gt;0,N196*100/M196,0)</f>
        <v>0</v>
      </c>
    </row>
    <row r="197" spans="1:16" ht="19.5" x14ac:dyDescent="0.3">
      <c r="A197" s="148"/>
      <c r="B197" s="149"/>
      <c r="C197" s="197" t="s">
        <v>16</v>
      </c>
      <c r="D197" s="395" t="s">
        <v>36</v>
      </c>
      <c r="E197" s="151"/>
      <c r="F197" s="151"/>
      <c r="G197" s="152"/>
      <c r="H197" s="153"/>
      <c r="I197" s="45"/>
      <c r="J197" s="45"/>
      <c r="K197" s="46"/>
      <c r="L197" s="46"/>
      <c r="M197" s="46"/>
      <c r="N197" s="46"/>
      <c r="O197" s="46"/>
      <c r="P197" s="46"/>
    </row>
    <row r="198" spans="1:16" ht="18.75" x14ac:dyDescent="0.25">
      <c r="A198" s="148"/>
      <c r="B198" s="149"/>
      <c r="C198" s="149"/>
      <c r="D198" s="159" t="s">
        <v>74</v>
      </c>
      <c r="E198" s="155"/>
      <c r="F198" s="155"/>
      <c r="G198" s="153"/>
      <c r="H198" s="251" t="s">
        <v>73</v>
      </c>
      <c r="I198" s="169">
        <f ca="1">IFERROR(__xludf.DUMMYFUNCTION("IMPORTRANGE(""https://docs.google.com/spreadsheets/d/1eHaY18a8A9IcSdp1K8H6x8fbOy06t2VsZHhMHf-1x7Y/edit?usp=sharing"",""แผน!AE19"")"),4)</f>
        <v>4</v>
      </c>
      <c r="J198" s="250">
        <v>0</v>
      </c>
      <c r="K198" s="47">
        <f ca="1">IF(I198&gt;0,J198*100/I198,0)</f>
        <v>0</v>
      </c>
      <c r="L198" s="46"/>
      <c r="M198" s="46"/>
      <c r="N198" s="46"/>
      <c r="O198" s="46"/>
      <c r="P198" s="46"/>
    </row>
    <row r="199" spans="1:16" ht="18.75" x14ac:dyDescent="0.25">
      <c r="A199" s="148"/>
      <c r="B199" s="149"/>
      <c r="C199" s="149"/>
      <c r="D199" s="159" t="s">
        <v>75</v>
      </c>
      <c r="E199" s="155"/>
      <c r="F199" s="155"/>
      <c r="G199" s="153"/>
      <c r="H199" s="230" t="s">
        <v>33</v>
      </c>
      <c r="I199" s="45"/>
      <c r="J199" s="169">
        <f>J200+J201</f>
        <v>0</v>
      </c>
      <c r="K199" s="46"/>
      <c r="L199" s="46"/>
      <c r="M199" s="46"/>
      <c r="N199" s="46"/>
      <c r="O199" s="46"/>
      <c r="P199" s="46"/>
    </row>
    <row r="200" spans="1:16" ht="18.75" x14ac:dyDescent="0.25">
      <c r="A200" s="148"/>
      <c r="B200" s="149"/>
      <c r="C200" s="149"/>
      <c r="D200" s="149"/>
      <c r="E200" s="159" t="s">
        <v>76</v>
      </c>
      <c r="F200" s="155"/>
      <c r="G200" s="153"/>
      <c r="H200" s="230" t="s">
        <v>33</v>
      </c>
      <c r="I200" s="45"/>
      <c r="J200" s="250">
        <v>0</v>
      </c>
      <c r="K200" s="46"/>
      <c r="L200" s="46"/>
      <c r="M200" s="46"/>
      <c r="N200" s="46"/>
      <c r="O200" s="46"/>
      <c r="P200" s="46"/>
    </row>
    <row r="201" spans="1:16" ht="18.75" x14ac:dyDescent="0.25">
      <c r="A201" s="148"/>
      <c r="B201" s="149"/>
      <c r="C201" s="149"/>
      <c r="D201" s="149"/>
      <c r="E201" s="159" t="s">
        <v>77</v>
      </c>
      <c r="F201" s="155"/>
      <c r="G201" s="153"/>
      <c r="H201" s="230" t="s">
        <v>33</v>
      </c>
      <c r="I201" s="45"/>
      <c r="J201" s="250">
        <v>0</v>
      </c>
      <c r="K201" s="46"/>
      <c r="L201" s="46"/>
      <c r="M201" s="46"/>
      <c r="N201" s="46"/>
      <c r="O201" s="46"/>
      <c r="P201" s="46"/>
    </row>
    <row r="202" spans="1:16" ht="19.5" x14ac:dyDescent="0.3">
      <c r="A202" s="233"/>
      <c r="B202" s="234"/>
      <c r="C202" s="235" t="s">
        <v>78</v>
      </c>
      <c r="D202" s="236"/>
      <c r="E202" s="236"/>
      <c r="F202" s="236"/>
      <c r="G202" s="237"/>
      <c r="H202" s="245" t="s">
        <v>79</v>
      </c>
      <c r="I202" s="239">
        <f ca="1">I209</f>
        <v>3</v>
      </c>
      <c r="J202" s="239">
        <f>J209</f>
        <v>0</v>
      </c>
      <c r="K202" s="240">
        <f ca="1">IF(I202&gt;0,J202*100/I202,0)</f>
        <v>0</v>
      </c>
      <c r="L202" s="241"/>
      <c r="M202" s="241"/>
      <c r="N202" s="241"/>
      <c r="O202" s="241"/>
      <c r="P202" s="241"/>
    </row>
    <row r="203" spans="1:16" ht="19.5" x14ac:dyDescent="0.3">
      <c r="A203" s="136"/>
      <c r="B203" s="41"/>
      <c r="C203" s="197" t="s">
        <v>16</v>
      </c>
      <c r="D203" s="400" t="s">
        <v>17</v>
      </c>
      <c r="E203" s="41"/>
      <c r="F203" s="41"/>
      <c r="G203" s="43"/>
      <c r="H203" s="243" t="s">
        <v>12</v>
      </c>
      <c r="I203" s="144"/>
      <c r="J203" s="144"/>
      <c r="K203" s="145"/>
      <c r="L203" s="140">
        <f ca="1">L204+L205+L206+L207</f>
        <v>42000</v>
      </c>
      <c r="M203" s="46"/>
      <c r="N203" s="140">
        <f>N204+N205+N206+N207</f>
        <v>0</v>
      </c>
      <c r="O203" s="140">
        <f ca="1">IF(L203&gt;0,N203*100/L203,0)</f>
        <v>0</v>
      </c>
      <c r="P203" s="140">
        <f>IF(M203&gt;0,N203*100/M203,0)</f>
        <v>0</v>
      </c>
    </row>
    <row r="204" spans="1:16" ht="18.75" x14ac:dyDescent="0.25">
      <c r="A204" s="136"/>
      <c r="B204" s="228"/>
      <c r="C204" s="41"/>
      <c r="D204" s="253" t="s">
        <v>153</v>
      </c>
      <c r="E204" s="41"/>
      <c r="F204" s="41"/>
      <c r="G204" s="43"/>
      <c r="H204" s="143" t="s">
        <v>12</v>
      </c>
      <c r="I204" s="144"/>
      <c r="J204" s="144"/>
      <c r="K204" s="145"/>
      <c r="L204" s="47">
        <f ca="1">IFERROR(__xludf.DUMMYFUNCTION("IMPORTRANGE(""https://docs.google.com/spreadsheets/d/1eHaY18a8A9IcSdp1K8H6x8fbOy06t2VsZHhMHf-1x7Y/edit?usp=sharing"",""แผน!AG19"")"),3000)</f>
        <v>3000</v>
      </c>
      <c r="M204" s="46"/>
      <c r="N204" s="248">
        <v>0</v>
      </c>
      <c r="O204" s="145"/>
      <c r="P204" s="46"/>
    </row>
    <row r="205" spans="1:16" ht="18.75" x14ac:dyDescent="0.25">
      <c r="A205" s="227"/>
      <c r="B205" s="228"/>
      <c r="C205" s="41"/>
      <c r="D205" s="254" t="s">
        <v>81</v>
      </c>
      <c r="E205" s="41"/>
      <c r="F205" s="41"/>
      <c r="G205" s="43"/>
      <c r="H205" s="44" t="s">
        <v>12</v>
      </c>
      <c r="I205" s="45"/>
      <c r="J205" s="45"/>
      <c r="K205" s="46"/>
      <c r="L205" s="47">
        <f ca="1">IFERROR(__xludf.DUMMYFUNCTION("IMPORTRANGE(""https://docs.google.com/spreadsheets/d/1eHaY18a8A9IcSdp1K8H6x8fbOy06t2VsZHhMHf-1x7Y/edit?usp=sharing"",""แผน!AH19"")"),0)</f>
        <v>0</v>
      </c>
      <c r="M205" s="46"/>
      <c r="N205" s="248">
        <v>0</v>
      </c>
      <c r="O205" s="145"/>
      <c r="P205" s="46"/>
    </row>
    <row r="206" spans="1:16" ht="18.75" x14ac:dyDescent="0.25">
      <c r="A206" s="227"/>
      <c r="B206" s="228"/>
      <c r="C206" s="41"/>
      <c r="D206" s="254" t="s">
        <v>82</v>
      </c>
      <c r="E206" s="41"/>
      <c r="F206" s="41"/>
      <c r="G206" s="43"/>
      <c r="H206" s="44" t="s">
        <v>12</v>
      </c>
      <c r="I206" s="45"/>
      <c r="J206" s="45"/>
      <c r="K206" s="46"/>
      <c r="L206" s="47">
        <f ca="1">IFERROR(__xludf.DUMMYFUNCTION("IMPORTRANGE(""https://docs.google.com/spreadsheets/d/1eHaY18a8A9IcSdp1K8H6x8fbOy06t2VsZHhMHf-1x7Y/edit?usp=sharing"",""แผน!AI19"")"),24000)</f>
        <v>24000</v>
      </c>
      <c r="M206" s="46"/>
      <c r="N206" s="248">
        <v>0</v>
      </c>
      <c r="O206" s="145"/>
      <c r="P206" s="46"/>
    </row>
    <row r="207" spans="1:16" ht="18.75" x14ac:dyDescent="0.25">
      <c r="A207" s="227"/>
      <c r="B207" s="228"/>
      <c r="C207" s="41"/>
      <c r="D207" s="254" t="s">
        <v>83</v>
      </c>
      <c r="E207" s="41"/>
      <c r="F207" s="41"/>
      <c r="G207" s="43"/>
      <c r="H207" s="44" t="s">
        <v>12</v>
      </c>
      <c r="I207" s="45"/>
      <c r="J207" s="45"/>
      <c r="K207" s="46"/>
      <c r="L207" s="47">
        <f ca="1">IFERROR(__xludf.DUMMYFUNCTION("IMPORTRANGE(""https://docs.google.com/spreadsheets/d/1eHaY18a8A9IcSdp1K8H6x8fbOy06t2VsZHhMHf-1x7Y/edit?usp=sharing"",""แผน!AJ19"")"),15000)</f>
        <v>15000</v>
      </c>
      <c r="M207" s="46"/>
      <c r="N207" s="248">
        <v>0</v>
      </c>
      <c r="O207" s="145"/>
      <c r="P207" s="46"/>
    </row>
    <row r="208" spans="1:16" ht="19.5" x14ac:dyDescent="0.3">
      <c r="A208" s="148"/>
      <c r="B208" s="149"/>
      <c r="C208" s="197" t="s">
        <v>16</v>
      </c>
      <c r="D208" s="395" t="s">
        <v>36</v>
      </c>
      <c r="E208" s="151"/>
      <c r="F208" s="151"/>
      <c r="G208" s="152"/>
      <c r="H208" s="153"/>
      <c r="I208" s="144"/>
      <c r="J208" s="144"/>
      <c r="K208" s="145"/>
      <c r="L208" s="145"/>
      <c r="M208" s="145"/>
      <c r="N208" s="145"/>
      <c r="O208" s="145"/>
      <c r="P208" s="145"/>
    </row>
    <row r="209" spans="1:16" ht="18.75" x14ac:dyDescent="0.25">
      <c r="A209" s="148"/>
      <c r="B209" s="149"/>
      <c r="C209" s="149"/>
      <c r="D209" s="154" t="s">
        <v>84</v>
      </c>
      <c r="E209" s="155"/>
      <c r="F209" s="155"/>
      <c r="G209" s="153"/>
      <c r="H209" s="249" t="s">
        <v>79</v>
      </c>
      <c r="I209" s="169">
        <f ca="1">IFERROR(__xludf.DUMMYFUNCTION("IMPORTRANGE(""https://docs.google.com/spreadsheets/d/1eHaY18a8A9IcSdp1K8H6x8fbOy06t2VsZHhMHf-1x7Y/edit?usp=sharing"",""แผน!AK19"")"),3)</f>
        <v>3</v>
      </c>
      <c r="J209" s="250">
        <v>0</v>
      </c>
      <c r="K209" s="163">
        <f ca="1">IF(I209&gt;0,J209*100/I209,0)</f>
        <v>0</v>
      </c>
      <c r="L209" s="46"/>
      <c r="M209" s="46"/>
      <c r="N209" s="46"/>
      <c r="O209" s="46"/>
      <c r="P209" s="46"/>
    </row>
    <row r="210" spans="1:16" ht="18.75" x14ac:dyDescent="0.25">
      <c r="A210" s="148"/>
      <c r="B210" s="149"/>
      <c r="C210" s="149"/>
      <c r="D210" s="159" t="s">
        <v>48</v>
      </c>
      <c r="E210" s="155"/>
      <c r="F210" s="155"/>
      <c r="G210" s="153"/>
      <c r="H210" s="153"/>
      <c r="I210" s="45"/>
      <c r="J210" s="45"/>
      <c r="K210" s="145"/>
      <c r="L210" s="46"/>
      <c r="M210" s="46"/>
      <c r="N210" s="46"/>
      <c r="O210" s="46"/>
      <c r="P210" s="46"/>
    </row>
    <row r="211" spans="1:16" ht="18.75" x14ac:dyDescent="0.25">
      <c r="A211" s="148"/>
      <c r="B211" s="149"/>
      <c r="C211" s="149"/>
      <c r="D211" s="155"/>
      <c r="E211" s="159" t="s">
        <v>85</v>
      </c>
      <c r="F211" s="155"/>
      <c r="G211" s="153"/>
      <c r="H211" s="249" t="s">
        <v>79</v>
      </c>
      <c r="I211" s="169">
        <f ca="1">IFERROR(__xludf.DUMMYFUNCTION("IMPORTRANGE(""https://docs.google.com/spreadsheets/d/1eHaY18a8A9IcSdp1K8H6x8fbOy06t2VsZHhMHf-1x7Y/edit?usp=sharing"",""แผน!AK19"")"),3)</f>
        <v>3</v>
      </c>
      <c r="J211" s="250">
        <v>0</v>
      </c>
      <c r="K211" s="163">
        <f ca="1">IF(I211&gt;0,J211*100/I211,0)</f>
        <v>0</v>
      </c>
      <c r="L211" s="46"/>
      <c r="M211" s="46"/>
      <c r="N211" s="46"/>
      <c r="O211" s="46"/>
      <c r="P211" s="46"/>
    </row>
    <row r="212" spans="1:16" ht="18.75" x14ac:dyDescent="0.25">
      <c r="A212" s="148"/>
      <c r="B212" s="149"/>
      <c r="C212" s="149"/>
      <c r="D212" s="155"/>
      <c r="E212" s="159" t="s">
        <v>86</v>
      </c>
      <c r="F212" s="155"/>
      <c r="G212" s="155"/>
      <c r="H212" s="251" t="s">
        <v>87</v>
      </c>
      <c r="I212" s="169">
        <f ca="1">IFERROR(__xludf.DUMMYFUNCTION("IMPORTRANGE(""https://docs.google.com/spreadsheets/d/1eHaY18a8A9IcSdp1K8H6x8fbOy06t2VsZHhMHf-1x7Y/edit?usp=sharing"",""แผน!AK19"")"),3)</f>
        <v>3</v>
      </c>
      <c r="J212" s="250">
        <v>0</v>
      </c>
      <c r="K212" s="163">
        <f ca="1">IF(I212&gt;0,J212*100/I212,0)</f>
        <v>0</v>
      </c>
      <c r="L212" s="46"/>
      <c r="M212" s="46"/>
      <c r="N212" s="46"/>
      <c r="O212" s="46"/>
      <c r="P212" s="46"/>
    </row>
    <row r="213" spans="1:16" ht="19.5" hidden="1" x14ac:dyDescent="0.3">
      <c r="A213" s="233"/>
      <c r="B213" s="234"/>
      <c r="C213" s="235" t="s">
        <v>88</v>
      </c>
      <c r="D213" s="236"/>
      <c r="E213" s="236"/>
      <c r="F213" s="236"/>
      <c r="G213" s="237"/>
      <c r="H213" s="245" t="s">
        <v>79</v>
      </c>
      <c r="I213" s="239">
        <f ca="1">I220</f>
        <v>0</v>
      </c>
      <c r="J213" s="239">
        <f>J220</f>
        <v>0</v>
      </c>
      <c r="K213" s="240">
        <f ca="1">IF(I213&gt;0,J213*100/I213,0)</f>
        <v>0</v>
      </c>
      <c r="L213" s="241"/>
      <c r="M213" s="241"/>
      <c r="N213" s="241"/>
      <c r="O213" s="241"/>
      <c r="P213" s="241"/>
    </row>
    <row r="214" spans="1:16" ht="19.5" hidden="1" x14ac:dyDescent="0.3">
      <c r="A214" s="136"/>
      <c r="B214" s="41"/>
      <c r="C214" s="197" t="s">
        <v>16</v>
      </c>
      <c r="D214" s="400" t="s">
        <v>17</v>
      </c>
      <c r="E214" s="41"/>
      <c r="F214" s="41"/>
      <c r="G214" s="43"/>
      <c r="H214" s="243" t="s">
        <v>12</v>
      </c>
      <c r="I214" s="144"/>
      <c r="J214" s="144"/>
      <c r="K214" s="145"/>
      <c r="L214" s="140">
        <f ca="1">L215+L216+L217</f>
        <v>0</v>
      </c>
      <c r="M214" s="46"/>
      <c r="N214" s="140">
        <f>N215+N216+N217</f>
        <v>0</v>
      </c>
      <c r="O214" s="140">
        <f ca="1">IF(L214&gt;0,N214*100/L214,0)</f>
        <v>0</v>
      </c>
      <c r="P214" s="140">
        <f>IF(M214&gt;0,N214*100/M214,0)</f>
        <v>0</v>
      </c>
    </row>
    <row r="215" spans="1:16" ht="18.75" hidden="1" x14ac:dyDescent="0.25">
      <c r="A215" s="136"/>
      <c r="B215" s="228"/>
      <c r="C215" s="41"/>
      <c r="D215" s="254" t="s">
        <v>80</v>
      </c>
      <c r="E215" s="41"/>
      <c r="F215" s="41"/>
      <c r="G215" s="43"/>
      <c r="H215" s="143" t="s">
        <v>12</v>
      </c>
      <c r="I215" s="144"/>
      <c r="J215" s="144"/>
      <c r="K215" s="145"/>
      <c r="L215" s="47">
        <f ca="1">IFERROR(__xludf.DUMMYFUNCTION("IMPORTRANGE(""https://docs.google.com/spreadsheets/d/1eHaY18a8A9IcSdp1K8H6x8fbOy06t2VsZHhMHf-1x7Y/edit?usp=sharing"",""แผน!AM19"")"),0)</f>
        <v>0</v>
      </c>
      <c r="M215" s="46"/>
      <c r="N215" s="248">
        <v>0</v>
      </c>
      <c r="O215" s="145"/>
      <c r="P215" s="46"/>
    </row>
    <row r="216" spans="1:16" ht="18.75" hidden="1" x14ac:dyDescent="0.25">
      <c r="A216" s="227"/>
      <c r="B216" s="228"/>
      <c r="C216" s="228"/>
      <c r="D216" s="254" t="s">
        <v>89</v>
      </c>
      <c r="E216" s="41"/>
      <c r="F216" s="41"/>
      <c r="G216" s="43"/>
      <c r="H216" s="143" t="s">
        <v>12</v>
      </c>
      <c r="I216" s="45"/>
      <c r="J216" s="45"/>
      <c r="K216" s="46"/>
      <c r="L216" s="47">
        <f ca="1">IFERROR(__xludf.DUMMYFUNCTION("IMPORTRANGE(""https://docs.google.com/spreadsheets/d/1eHaY18a8A9IcSdp1K8H6x8fbOy06t2VsZHhMHf-1x7Y/edit?usp=sharing"",""แผน!AN19"")"),0)</f>
        <v>0</v>
      </c>
      <c r="M216" s="46"/>
      <c r="N216" s="248">
        <v>0</v>
      </c>
      <c r="O216" s="145"/>
      <c r="P216" s="46"/>
    </row>
    <row r="217" spans="1:16" ht="18.75" hidden="1" x14ac:dyDescent="0.25">
      <c r="A217" s="227"/>
      <c r="B217" s="228"/>
      <c r="C217" s="228"/>
      <c r="D217" s="254" t="s">
        <v>82</v>
      </c>
      <c r="E217" s="41"/>
      <c r="F217" s="41"/>
      <c r="G217" s="43"/>
      <c r="H217" s="143" t="s">
        <v>12</v>
      </c>
      <c r="I217" s="45"/>
      <c r="J217" s="45"/>
      <c r="K217" s="46"/>
      <c r="L217" s="47">
        <f ca="1">IFERROR(__xludf.DUMMYFUNCTION("IMPORTRANGE(""https://docs.google.com/spreadsheets/d/1eHaY18a8A9IcSdp1K8H6x8fbOy06t2VsZHhMHf-1x7Y/edit?usp=sharing"",""แผน!AO19"")"),0)</f>
        <v>0</v>
      </c>
      <c r="M217" s="46"/>
      <c r="N217" s="248">
        <v>0</v>
      </c>
      <c r="O217" s="145"/>
      <c r="P217" s="46"/>
    </row>
    <row r="218" spans="1:16" ht="19.5" hidden="1" x14ac:dyDescent="0.3">
      <c r="A218" s="148"/>
      <c r="B218" s="149"/>
      <c r="C218" s="252" t="s">
        <v>16</v>
      </c>
      <c r="D218" s="395" t="s">
        <v>36</v>
      </c>
      <c r="E218" s="151"/>
      <c r="F218" s="151"/>
      <c r="G218" s="152"/>
      <c r="H218" s="153"/>
      <c r="I218" s="144"/>
      <c r="J218" s="45"/>
      <c r="K218" s="46"/>
      <c r="L218" s="46"/>
      <c r="M218" s="46"/>
      <c r="N218" s="46"/>
      <c r="O218" s="145"/>
      <c r="P218" s="145"/>
    </row>
    <row r="219" spans="1:16" ht="18.75" hidden="1" x14ac:dyDescent="0.25">
      <c r="A219" s="148"/>
      <c r="B219" s="149"/>
      <c r="C219" s="149"/>
      <c r="D219" s="154" t="s">
        <v>90</v>
      </c>
      <c r="E219" s="155"/>
      <c r="F219" s="155"/>
      <c r="G219" s="153"/>
      <c r="H219" s="249" t="s">
        <v>79</v>
      </c>
      <c r="I219" s="169">
        <f ca="1">IFERROR(__xludf.DUMMYFUNCTION("IMPORTRANGE(""https://docs.google.com/spreadsheets/d/1eHaY18a8A9IcSdp1K8H6x8fbOy06t2VsZHhMHf-1x7Y/edit?usp=sharing"",""แผน!AP19"")"),0)</f>
        <v>0</v>
      </c>
      <c r="J219" s="250">
        <v>0</v>
      </c>
      <c r="K219" s="47">
        <f ca="1">IF(I219&gt;0,J219*100/I219,0)</f>
        <v>0</v>
      </c>
      <c r="L219" s="46"/>
      <c r="M219" s="46"/>
      <c r="N219" s="46"/>
      <c r="O219" s="46"/>
      <c r="P219" s="46"/>
    </row>
    <row r="220" spans="1:16" ht="18.75" hidden="1" x14ac:dyDescent="0.25">
      <c r="A220" s="148"/>
      <c r="B220" s="149"/>
      <c r="C220" s="149"/>
      <c r="D220" s="154" t="s">
        <v>91</v>
      </c>
      <c r="E220" s="155"/>
      <c r="F220" s="155"/>
      <c r="G220" s="153"/>
      <c r="H220" s="249" t="s">
        <v>79</v>
      </c>
      <c r="I220" s="169">
        <f ca="1">IFERROR(__xludf.DUMMYFUNCTION("IMPORTRANGE(""https://docs.google.com/spreadsheets/d/1eHaY18a8A9IcSdp1K8H6x8fbOy06t2VsZHhMHf-1x7Y/edit?usp=sharing"",""แผน!AP19"")"),0)</f>
        <v>0</v>
      </c>
      <c r="J220" s="250">
        <v>0</v>
      </c>
      <c r="K220" s="47">
        <f ca="1">IF(I220&gt;0,J220*100/I220,0)</f>
        <v>0</v>
      </c>
      <c r="L220" s="46"/>
      <c r="M220" s="46"/>
      <c r="N220" s="46"/>
      <c r="O220" s="46"/>
      <c r="P220" s="46"/>
    </row>
    <row r="221" spans="1:16" ht="19.5" x14ac:dyDescent="0.3">
      <c r="A221" s="233"/>
      <c r="B221" s="234"/>
      <c r="C221" s="235" t="s">
        <v>92</v>
      </c>
      <c r="D221" s="236"/>
      <c r="E221" s="236"/>
      <c r="F221" s="236"/>
      <c r="G221" s="237"/>
      <c r="H221" s="238" t="s">
        <v>93</v>
      </c>
      <c r="I221" s="239">
        <f ca="1">I229</f>
        <v>50000</v>
      </c>
      <c r="J221" s="239">
        <f>J229</f>
        <v>0</v>
      </c>
      <c r="K221" s="240">
        <f ca="1">IF(I221&gt;0,J221*100/I221,0)</f>
        <v>0</v>
      </c>
      <c r="L221" s="241"/>
      <c r="M221" s="241"/>
      <c r="N221" s="241"/>
      <c r="O221" s="241"/>
      <c r="P221" s="241"/>
    </row>
    <row r="222" spans="1:16" ht="19.5" x14ac:dyDescent="0.3">
      <c r="A222" s="136"/>
      <c r="B222" s="41"/>
      <c r="C222" s="197" t="s">
        <v>16</v>
      </c>
      <c r="D222" s="400" t="s">
        <v>17</v>
      </c>
      <c r="E222" s="41"/>
      <c r="F222" s="41"/>
      <c r="G222" s="43"/>
      <c r="H222" s="243" t="s">
        <v>12</v>
      </c>
      <c r="I222" s="144"/>
      <c r="J222" s="144"/>
      <c r="K222" s="145"/>
      <c r="L222" s="140">
        <f ca="1">L223+L224+L225</f>
        <v>8500</v>
      </c>
      <c r="M222" s="46"/>
      <c r="N222" s="140">
        <f>N223+N224+N225</f>
        <v>0</v>
      </c>
      <c r="O222" s="140">
        <f ca="1">IF(L222&gt;0,N222*100/L222,0)</f>
        <v>0</v>
      </c>
      <c r="P222" s="140">
        <f>IF(M222&gt;0,N222*100/M222,0)</f>
        <v>0</v>
      </c>
    </row>
    <row r="223" spans="1:16" ht="18.75" x14ac:dyDescent="0.25">
      <c r="A223" s="136"/>
      <c r="B223" s="228"/>
      <c r="C223" s="41"/>
      <c r="D223" s="253" t="s">
        <v>94</v>
      </c>
      <c r="E223" s="41"/>
      <c r="F223" s="41"/>
      <c r="G223" s="43"/>
      <c r="H223" s="143" t="s">
        <v>12</v>
      </c>
      <c r="I223" s="144"/>
      <c r="J223" s="144"/>
      <c r="K223" s="145"/>
      <c r="L223" s="47">
        <f ca="1">IFERROR(__xludf.DUMMYFUNCTION("IMPORTRANGE(""https://docs.google.com/spreadsheets/d/1eHaY18a8A9IcSdp1K8H6x8fbOy06t2VsZHhMHf-1x7Y/edit?usp=sharing"",""แผน!AR19"")"),7000)</f>
        <v>7000</v>
      </c>
      <c r="M223" s="46"/>
      <c r="N223" s="248">
        <v>0</v>
      </c>
      <c r="O223" s="145"/>
      <c r="P223" s="46"/>
    </row>
    <row r="224" spans="1:16" ht="18.75" x14ac:dyDescent="0.25">
      <c r="A224" s="227"/>
      <c r="B224" s="228"/>
      <c r="C224" s="228"/>
      <c r="D224" s="254" t="s">
        <v>95</v>
      </c>
      <c r="E224" s="41"/>
      <c r="F224" s="41"/>
      <c r="G224" s="43"/>
      <c r="H224" s="143" t="s">
        <v>12</v>
      </c>
      <c r="I224" s="45"/>
      <c r="J224" s="45"/>
      <c r="K224" s="46"/>
      <c r="L224" s="47">
        <f ca="1">IFERROR(__xludf.DUMMYFUNCTION("IMPORTRANGE(""https://docs.google.com/spreadsheets/d/1eHaY18a8A9IcSdp1K8H6x8fbOy06t2VsZHhMHf-1x7Y/edit?usp=sharing"",""แผน!AS19"")"),1500)</f>
        <v>1500</v>
      </c>
      <c r="M224" s="46"/>
      <c r="N224" s="248">
        <v>0</v>
      </c>
      <c r="O224" s="145"/>
      <c r="P224" s="46"/>
    </row>
    <row r="225" spans="1:16" ht="18.75" x14ac:dyDescent="0.25">
      <c r="A225" s="227"/>
      <c r="B225" s="228"/>
      <c r="C225" s="228"/>
      <c r="D225" s="254" t="s">
        <v>82</v>
      </c>
      <c r="E225" s="41"/>
      <c r="F225" s="41"/>
      <c r="G225" s="43"/>
      <c r="H225" s="143" t="s">
        <v>12</v>
      </c>
      <c r="I225" s="45"/>
      <c r="J225" s="45"/>
      <c r="K225" s="46"/>
      <c r="L225" s="47">
        <f ca="1">IFERROR(__xludf.DUMMYFUNCTION("IMPORTRANGE(""https://docs.google.com/spreadsheets/d/1eHaY18a8A9IcSdp1K8H6x8fbOy06t2VsZHhMHf-1x7Y/edit?usp=sharing"",""แผน!AT19"")"),0)</f>
        <v>0</v>
      </c>
      <c r="M225" s="46"/>
      <c r="N225" s="248">
        <v>0</v>
      </c>
      <c r="O225" s="145"/>
      <c r="P225" s="46"/>
    </row>
    <row r="226" spans="1:16" ht="19.5" x14ac:dyDescent="0.3">
      <c r="A226" s="148"/>
      <c r="B226" s="149"/>
      <c r="C226" s="252" t="s">
        <v>16</v>
      </c>
      <c r="D226" s="395" t="s">
        <v>36</v>
      </c>
      <c r="E226" s="151"/>
      <c r="F226" s="151"/>
      <c r="G226" s="152"/>
      <c r="H226" s="153"/>
      <c r="I226" s="144"/>
      <c r="J226" s="144"/>
      <c r="K226" s="145"/>
      <c r="L226" s="145"/>
      <c r="M226" s="145"/>
      <c r="N226" s="145"/>
      <c r="O226" s="145"/>
      <c r="P226" s="145"/>
    </row>
    <row r="227" spans="1:16" ht="18.75" x14ac:dyDescent="0.25">
      <c r="A227" s="148"/>
      <c r="B227" s="149"/>
      <c r="C227" s="149"/>
      <c r="D227" s="254" t="s">
        <v>96</v>
      </c>
      <c r="E227" s="155"/>
      <c r="F227" s="155"/>
      <c r="G227" s="153"/>
      <c r="H227" s="153"/>
      <c r="I227" s="45"/>
      <c r="J227" s="45"/>
      <c r="K227" s="145"/>
      <c r="L227" s="145"/>
      <c r="M227" s="145"/>
      <c r="N227" s="145"/>
      <c r="O227" s="145"/>
      <c r="P227" s="145"/>
    </row>
    <row r="228" spans="1:16" ht="18.75" x14ac:dyDescent="0.25">
      <c r="A228" s="148"/>
      <c r="B228" s="149"/>
      <c r="C228" s="149"/>
      <c r="D228" s="149"/>
      <c r="E228" s="154" t="s">
        <v>97</v>
      </c>
      <c r="F228" s="155"/>
      <c r="G228" s="153"/>
      <c r="H228" s="251" t="s">
        <v>93</v>
      </c>
      <c r="I228" s="169">
        <f ca="1">IFERROR(__xludf.DUMMYFUNCTION("IMPORTRANGE(""https://docs.google.com/spreadsheets/d/1eHaY18a8A9IcSdp1K8H6x8fbOy06t2VsZHhMHf-1x7Y/edit?usp=sharing"",""แผน!AV19"")"),50000)</f>
        <v>50000</v>
      </c>
      <c r="J228" s="250">
        <v>0</v>
      </c>
      <c r="K228" s="163">
        <f ca="1">IF(I228&gt;0,J228*100/I228,0)</f>
        <v>0</v>
      </c>
      <c r="L228" s="145"/>
      <c r="M228" s="145"/>
      <c r="N228" s="145"/>
      <c r="O228" s="145"/>
      <c r="P228" s="145"/>
    </row>
    <row r="229" spans="1:16" ht="18.75" x14ac:dyDescent="0.25">
      <c r="A229" s="148"/>
      <c r="B229" s="149"/>
      <c r="C229" s="149"/>
      <c r="D229" s="149"/>
      <c r="E229" s="154" t="s">
        <v>98</v>
      </c>
      <c r="F229" s="155"/>
      <c r="G229" s="153"/>
      <c r="H229" s="251" t="s">
        <v>93</v>
      </c>
      <c r="I229" s="169">
        <f ca="1">IFERROR(__xludf.DUMMYFUNCTION("IMPORTRANGE(""https://docs.google.com/spreadsheets/d/1eHaY18a8A9IcSdp1K8H6x8fbOy06t2VsZHhMHf-1x7Y/edit?usp=sharing"",""แผน!AV19"")"),50000)</f>
        <v>50000</v>
      </c>
      <c r="J229" s="250">
        <v>0</v>
      </c>
      <c r="K229" s="163">
        <f ca="1">IF(I229&gt;0,J229*100/I229,0)</f>
        <v>0</v>
      </c>
      <c r="L229" s="46"/>
      <c r="M229" s="46"/>
      <c r="N229" s="46"/>
      <c r="O229" s="46"/>
      <c r="P229" s="46"/>
    </row>
    <row r="230" spans="1:16" ht="18.75" x14ac:dyDescent="0.25">
      <c r="A230" s="148"/>
      <c r="B230" s="149"/>
      <c r="C230" s="149"/>
      <c r="D230" s="254" t="s">
        <v>99</v>
      </c>
      <c r="E230" s="155"/>
      <c r="F230" s="155"/>
      <c r="G230" s="153"/>
      <c r="H230" s="251" t="s">
        <v>33</v>
      </c>
      <c r="I230" s="169">
        <f ca="1">IFERROR(__xludf.DUMMYFUNCTION("IMPORTRANGE(""https://docs.google.com/spreadsheets/d/1eHaY18a8A9IcSdp1K8H6x8fbOy06t2VsZHhMHf-1x7Y/edit?usp=sharing"",""แผน!AU19"")"),0)</f>
        <v>0</v>
      </c>
      <c r="J230" s="250">
        <v>0</v>
      </c>
      <c r="K230" s="163">
        <f ca="1">IF(I230&gt;0,J230*100/I230,0)</f>
        <v>0</v>
      </c>
      <c r="L230" s="46"/>
      <c r="M230" s="46"/>
      <c r="N230" s="46"/>
      <c r="O230" s="46"/>
      <c r="P230" s="46"/>
    </row>
    <row r="231" spans="1:16" ht="19.5" hidden="1" x14ac:dyDescent="0.3">
      <c r="A231" s="464"/>
      <c r="B231" s="463"/>
      <c r="C231" s="256" t="s">
        <v>100</v>
      </c>
      <c r="D231" s="462"/>
      <c r="E231" s="462"/>
      <c r="F231" s="462"/>
      <c r="G231" s="461"/>
      <c r="H231" s="257" t="s">
        <v>33</v>
      </c>
      <c r="I231" s="258">
        <f ca="1">I242+I253</f>
        <v>70</v>
      </c>
      <c r="J231" s="258">
        <f>J242+J253</f>
        <v>0</v>
      </c>
      <c r="K231" s="259">
        <f ca="1">IF(I231&gt;0,J231*100/I231,0)</f>
        <v>0</v>
      </c>
      <c r="L231" s="460"/>
      <c r="M231" s="460"/>
      <c r="N231" s="460"/>
      <c r="O231" s="460"/>
      <c r="P231" s="460"/>
    </row>
    <row r="232" spans="1:16" ht="19.5" hidden="1" x14ac:dyDescent="0.3">
      <c r="A232" s="459"/>
      <c r="B232" s="456"/>
      <c r="C232" s="260" t="s">
        <v>16</v>
      </c>
      <c r="D232" s="261" t="s">
        <v>17</v>
      </c>
      <c r="E232" s="456"/>
      <c r="F232" s="456"/>
      <c r="G232" s="455"/>
      <c r="H232" s="262" t="s">
        <v>12</v>
      </c>
      <c r="I232" s="452"/>
      <c r="J232" s="452"/>
      <c r="K232" s="450"/>
      <c r="L232" s="263">
        <f ca="1">L243+L254</f>
        <v>242300</v>
      </c>
      <c r="M232" s="445"/>
      <c r="N232" s="263">
        <f>N243+N254</f>
        <v>0</v>
      </c>
      <c r="O232" s="445"/>
      <c r="P232" s="445"/>
    </row>
    <row r="233" spans="1:16" ht="18.75" hidden="1" x14ac:dyDescent="0.25">
      <c r="A233" s="459"/>
      <c r="B233" s="457"/>
      <c r="C233" s="456"/>
      <c r="D233" s="253" t="s">
        <v>153</v>
      </c>
      <c r="E233" s="456"/>
      <c r="F233" s="456"/>
      <c r="G233" s="455"/>
      <c r="H233" s="146" t="s">
        <v>12</v>
      </c>
      <c r="I233" s="452"/>
      <c r="J233" s="452"/>
      <c r="K233" s="450"/>
      <c r="L233" s="50">
        <f ca="1">L244+L255</f>
        <v>107000</v>
      </c>
      <c r="M233" s="445"/>
      <c r="N233" s="50">
        <f>N244+N255</f>
        <v>0</v>
      </c>
      <c r="O233" s="445"/>
      <c r="P233" s="445"/>
    </row>
    <row r="234" spans="1:16" ht="18.75" hidden="1" x14ac:dyDescent="0.25">
      <c r="A234" s="458"/>
      <c r="B234" s="457"/>
      <c r="C234" s="457"/>
      <c r="D234" s="254" t="s">
        <v>81</v>
      </c>
      <c r="E234" s="456"/>
      <c r="F234" s="456"/>
      <c r="G234" s="455"/>
      <c r="H234" s="146" t="s">
        <v>12</v>
      </c>
      <c r="I234" s="451"/>
      <c r="J234" s="451"/>
      <c r="K234" s="445"/>
      <c r="L234" s="50">
        <f ca="1">L245+L256</f>
        <v>4000</v>
      </c>
      <c r="M234" s="445"/>
      <c r="N234" s="50">
        <f>N245+N256</f>
        <v>0</v>
      </c>
      <c r="O234" s="445"/>
      <c r="P234" s="445"/>
    </row>
    <row r="235" spans="1:16" ht="18.75" hidden="1" x14ac:dyDescent="0.25">
      <c r="A235" s="458"/>
      <c r="B235" s="457"/>
      <c r="C235" s="457"/>
      <c r="D235" s="254" t="s">
        <v>82</v>
      </c>
      <c r="E235" s="456"/>
      <c r="F235" s="456"/>
      <c r="G235" s="455"/>
      <c r="H235" s="146" t="s">
        <v>12</v>
      </c>
      <c r="I235" s="451"/>
      <c r="J235" s="451"/>
      <c r="K235" s="445"/>
      <c r="L235" s="50">
        <f ca="1">L246+L257</f>
        <v>47300</v>
      </c>
      <c r="M235" s="445"/>
      <c r="N235" s="50">
        <f>N246+N257</f>
        <v>0</v>
      </c>
      <c r="O235" s="445"/>
      <c r="P235" s="445"/>
    </row>
    <row r="236" spans="1:16" ht="18.75" hidden="1" x14ac:dyDescent="0.25">
      <c r="A236" s="458"/>
      <c r="B236" s="457"/>
      <c r="C236" s="457"/>
      <c r="D236" s="254" t="s">
        <v>83</v>
      </c>
      <c r="E236" s="456"/>
      <c r="F236" s="456"/>
      <c r="G236" s="455"/>
      <c r="H236" s="146" t="s">
        <v>12</v>
      </c>
      <c r="I236" s="451"/>
      <c r="J236" s="451"/>
      <c r="K236" s="445"/>
      <c r="L236" s="50">
        <f ca="1">L247+L258</f>
        <v>84000</v>
      </c>
      <c r="M236" s="445"/>
      <c r="N236" s="50">
        <f>N247+N258</f>
        <v>0</v>
      </c>
      <c r="O236" s="445"/>
      <c r="P236" s="445"/>
    </row>
    <row r="237" spans="1:16" ht="19.5" hidden="1" x14ac:dyDescent="0.3">
      <c r="A237" s="449"/>
      <c r="B237" s="448"/>
      <c r="C237" s="265" t="s">
        <v>16</v>
      </c>
      <c r="D237" s="394" t="s">
        <v>36</v>
      </c>
      <c r="E237" s="454"/>
      <c r="F237" s="454"/>
      <c r="G237" s="453"/>
      <c r="H237" s="446"/>
      <c r="I237" s="452"/>
      <c r="J237" s="451"/>
      <c r="K237" s="445"/>
      <c r="L237" s="445"/>
      <c r="M237" s="445"/>
      <c r="N237" s="445"/>
      <c r="O237" s="450"/>
      <c r="P237" s="450"/>
    </row>
    <row r="238" spans="1:16" ht="18.75" hidden="1" x14ac:dyDescent="0.25">
      <c r="A238" s="449"/>
      <c r="B238" s="448"/>
      <c r="C238" s="448"/>
      <c r="D238" s="267" t="s">
        <v>103</v>
      </c>
      <c r="E238" s="447"/>
      <c r="F238" s="447"/>
      <c r="G238" s="446"/>
      <c r="H238" s="268" t="s">
        <v>33</v>
      </c>
      <c r="I238" s="200">
        <f ca="1">I249+I260</f>
        <v>70</v>
      </c>
      <c r="J238" s="200">
        <f>J249+J260</f>
        <v>0</v>
      </c>
      <c r="K238" s="50">
        <f ca="1">IF(I238&gt;0,J238*100/I238,0)</f>
        <v>0</v>
      </c>
      <c r="L238" s="445"/>
      <c r="M238" s="445"/>
      <c r="N238" s="445"/>
      <c r="O238" s="445"/>
      <c r="P238" s="445"/>
    </row>
    <row r="239" spans="1:16" ht="18.75" hidden="1" x14ac:dyDescent="0.25">
      <c r="A239" s="449"/>
      <c r="B239" s="448"/>
      <c r="C239" s="448"/>
      <c r="D239" s="269" t="s">
        <v>41</v>
      </c>
      <c r="E239" s="447"/>
      <c r="F239" s="447"/>
      <c r="G239" s="446"/>
      <c r="H239" s="446"/>
      <c r="I239" s="451"/>
      <c r="J239" s="451"/>
      <c r="K239" s="445"/>
      <c r="L239" s="445"/>
      <c r="M239" s="445"/>
      <c r="N239" s="445"/>
      <c r="O239" s="450"/>
      <c r="P239" s="450"/>
    </row>
    <row r="240" spans="1:16" ht="18.75" hidden="1" x14ac:dyDescent="0.25">
      <c r="A240" s="449"/>
      <c r="B240" s="448"/>
      <c r="C240" s="448"/>
      <c r="D240" s="448"/>
      <c r="E240" s="270" t="s">
        <v>104</v>
      </c>
      <c r="F240" s="447"/>
      <c r="G240" s="446"/>
      <c r="H240" s="268" t="s">
        <v>33</v>
      </c>
      <c r="I240" s="200">
        <f>I251+I262</f>
        <v>0</v>
      </c>
      <c r="J240" s="200">
        <f>J251+J262</f>
        <v>0</v>
      </c>
      <c r="K240" s="50">
        <f>IF(I240&gt;0,J240*100/I240,0)</f>
        <v>0</v>
      </c>
      <c r="L240" s="445"/>
      <c r="M240" s="445"/>
      <c r="N240" s="445"/>
      <c r="O240" s="445"/>
      <c r="P240" s="445"/>
    </row>
    <row r="241" spans="1:16" ht="18.75" hidden="1" x14ac:dyDescent="0.25">
      <c r="A241" s="449"/>
      <c r="B241" s="448"/>
      <c r="C241" s="448"/>
      <c r="D241" s="448"/>
      <c r="E241" s="270" t="s">
        <v>105</v>
      </c>
      <c r="F241" s="447"/>
      <c r="G241" s="446"/>
      <c r="H241" s="268" t="s">
        <v>54</v>
      </c>
      <c r="I241" s="200">
        <f>I252+I263</f>
        <v>0</v>
      </c>
      <c r="J241" s="200">
        <f>J252+J263</f>
        <v>0</v>
      </c>
      <c r="K241" s="50">
        <f>IF(I241&gt;0,J241*100/I241,0)</f>
        <v>0</v>
      </c>
      <c r="L241" s="445"/>
      <c r="M241" s="445"/>
      <c r="N241" s="445"/>
      <c r="O241" s="445"/>
      <c r="P241" s="445"/>
    </row>
    <row r="242" spans="1:16" ht="19.5" x14ac:dyDescent="0.3">
      <c r="A242" s="444"/>
      <c r="B242" s="443"/>
      <c r="C242" s="442" t="s">
        <v>160</v>
      </c>
      <c r="D242" s="441"/>
      <c r="E242" s="441"/>
      <c r="F242" s="441"/>
      <c r="G242" s="440"/>
      <c r="H242" s="439" t="s">
        <v>33</v>
      </c>
      <c r="I242" s="438">
        <f ca="1">I249</f>
        <v>30</v>
      </c>
      <c r="J242" s="438">
        <f>J249</f>
        <v>0</v>
      </c>
      <c r="K242" s="437">
        <f ca="1">IF(I242&gt;0,J242*100/I242,0)</f>
        <v>0</v>
      </c>
      <c r="L242" s="436"/>
      <c r="M242" s="436"/>
      <c r="N242" s="436"/>
      <c r="O242" s="436"/>
      <c r="P242" s="436"/>
    </row>
    <row r="243" spans="1:16" ht="19.5" x14ac:dyDescent="0.3">
      <c r="A243" s="431"/>
      <c r="B243" s="428"/>
      <c r="C243" s="435" t="s">
        <v>16</v>
      </c>
      <c r="D243" s="434" t="s">
        <v>17</v>
      </c>
      <c r="E243" s="428"/>
      <c r="F243" s="428"/>
      <c r="G243" s="427"/>
      <c r="H243" s="433" t="s">
        <v>12</v>
      </c>
      <c r="I243" s="420"/>
      <c r="J243" s="420"/>
      <c r="K243" s="416"/>
      <c r="L243" s="432">
        <f ca="1">L244+L245+L246+L247</f>
        <v>56300</v>
      </c>
      <c r="M243" s="406"/>
      <c r="N243" s="432">
        <f>N244+N245+N246+N247</f>
        <v>0</v>
      </c>
      <c r="O243" s="432">
        <f ca="1">IF(L243&gt;0,N243*100/L243,0)</f>
        <v>0</v>
      </c>
      <c r="P243" s="432">
        <f>IF(M243&gt;0,N243*100/M243,0)</f>
        <v>0</v>
      </c>
    </row>
    <row r="244" spans="1:16" ht="18.75" x14ac:dyDescent="0.25">
      <c r="A244" s="431"/>
      <c r="B244" s="429"/>
      <c r="C244" s="428"/>
      <c r="D244" s="253" t="s">
        <v>153</v>
      </c>
      <c r="E244" s="428"/>
      <c r="F244" s="428"/>
      <c r="G244" s="427"/>
      <c r="H244" s="426" t="s">
        <v>12</v>
      </c>
      <c r="I244" s="420"/>
      <c r="J244" s="420"/>
      <c r="K244" s="416"/>
      <c r="L244" s="407">
        <f ca="1">IFERROR(__xludf.DUMMYFUNCTION("IMPORTRANGE(""https://docs.google.com/spreadsheets/d/1eHaY18a8A9IcSdp1K8H6x8fbOy06t2VsZHhMHf-1x7Y/edit?usp=sharing"",""แผน!AX19"")"),8000)</f>
        <v>8000</v>
      </c>
      <c r="M244" s="406"/>
      <c r="N244" s="425">
        <v>0</v>
      </c>
      <c r="O244" s="406"/>
      <c r="P244" s="406"/>
    </row>
    <row r="245" spans="1:16" ht="18.75" x14ac:dyDescent="0.25">
      <c r="A245" s="430"/>
      <c r="B245" s="429"/>
      <c r="C245" s="429"/>
      <c r="D245" s="254" t="s">
        <v>81</v>
      </c>
      <c r="E245" s="428"/>
      <c r="F245" s="428"/>
      <c r="G245" s="427"/>
      <c r="H245" s="426" t="s">
        <v>12</v>
      </c>
      <c r="I245" s="417"/>
      <c r="J245" s="417"/>
      <c r="K245" s="406"/>
      <c r="L245" s="407">
        <f ca="1">IFERROR(__xludf.DUMMYFUNCTION("IMPORTRANGE(""https://docs.google.com/spreadsheets/d/1eHaY18a8A9IcSdp1K8H6x8fbOy06t2VsZHhMHf-1x7Y/edit?usp=sharing"",""แผน!AY19"")"),2000)</f>
        <v>2000</v>
      </c>
      <c r="M245" s="406"/>
      <c r="N245" s="425">
        <v>0</v>
      </c>
      <c r="O245" s="406"/>
      <c r="P245" s="406"/>
    </row>
    <row r="246" spans="1:16" ht="18.75" x14ac:dyDescent="0.25">
      <c r="A246" s="430"/>
      <c r="B246" s="429"/>
      <c r="C246" s="429"/>
      <c r="D246" s="254" t="s">
        <v>82</v>
      </c>
      <c r="E246" s="428"/>
      <c r="F246" s="428"/>
      <c r="G246" s="427"/>
      <c r="H246" s="426" t="s">
        <v>12</v>
      </c>
      <c r="I246" s="417"/>
      <c r="J246" s="417"/>
      <c r="K246" s="406"/>
      <c r="L246" s="407">
        <f ca="1">IFERROR(__xludf.DUMMYFUNCTION("IMPORTRANGE(""https://docs.google.com/spreadsheets/d/1eHaY18a8A9IcSdp1K8H6x8fbOy06t2VsZHhMHf-1x7Y/edit?usp=sharing"",""แผน!AZ19"")"),15300)</f>
        <v>15300</v>
      </c>
      <c r="M246" s="406"/>
      <c r="N246" s="425">
        <v>0</v>
      </c>
      <c r="O246" s="406"/>
      <c r="P246" s="406"/>
    </row>
    <row r="247" spans="1:16" ht="18.75" x14ac:dyDescent="0.25">
      <c r="A247" s="430"/>
      <c r="B247" s="429"/>
      <c r="C247" s="429"/>
      <c r="D247" s="254" t="s">
        <v>83</v>
      </c>
      <c r="E247" s="428"/>
      <c r="F247" s="428"/>
      <c r="G247" s="427"/>
      <c r="H247" s="426" t="s">
        <v>12</v>
      </c>
      <c r="I247" s="417"/>
      <c r="J247" s="417"/>
      <c r="K247" s="406"/>
      <c r="L247" s="407">
        <f ca="1">IFERROR(__xludf.DUMMYFUNCTION("IMPORTRANGE(""https://docs.google.com/spreadsheets/d/1eHaY18a8A9IcSdp1K8H6x8fbOy06t2VsZHhMHf-1x7Y/edit?usp=sharing"",""แผน!BA19"")"),31000)</f>
        <v>31000</v>
      </c>
      <c r="M247" s="406"/>
      <c r="N247" s="425">
        <v>0</v>
      </c>
      <c r="O247" s="406"/>
      <c r="P247" s="406"/>
    </row>
    <row r="248" spans="1:16" ht="19.5" x14ac:dyDescent="0.3">
      <c r="A248" s="415"/>
      <c r="B248" s="414"/>
      <c r="C248" s="424" t="s">
        <v>16</v>
      </c>
      <c r="D248" s="423" t="s">
        <v>36</v>
      </c>
      <c r="E248" s="422"/>
      <c r="F248" s="422"/>
      <c r="G248" s="421"/>
      <c r="H248" s="411"/>
      <c r="I248" s="420"/>
      <c r="J248" s="417"/>
      <c r="K248" s="406"/>
      <c r="L248" s="406"/>
      <c r="M248" s="406"/>
      <c r="N248" s="406"/>
      <c r="O248" s="416"/>
      <c r="P248" s="416"/>
    </row>
    <row r="249" spans="1:16" ht="18.75" x14ac:dyDescent="0.25">
      <c r="A249" s="415"/>
      <c r="B249" s="414"/>
      <c r="C249" s="414"/>
      <c r="D249" s="419" t="s">
        <v>103</v>
      </c>
      <c r="E249" s="412"/>
      <c r="F249" s="412"/>
      <c r="G249" s="411"/>
      <c r="H249" s="410" t="s">
        <v>33</v>
      </c>
      <c r="I249" s="409">
        <f ca="1">IFERROR(__xludf.DUMMYFUNCTION("IMPORTRANGE(""https://docs.google.com/spreadsheets/d/1eHaY18a8A9IcSdp1K8H6x8fbOy06t2VsZHhMHf-1x7Y/edit?usp=sharing"",""แผน!BG19"")"),30)</f>
        <v>30</v>
      </c>
      <c r="J249" s="408">
        <v>0</v>
      </c>
      <c r="K249" s="407">
        <f ca="1">IF(I249&gt;0,J249*100/I249,0)</f>
        <v>0</v>
      </c>
      <c r="L249" s="406"/>
      <c r="M249" s="406"/>
      <c r="N249" s="406"/>
      <c r="O249" s="406"/>
      <c r="P249" s="406"/>
    </row>
    <row r="250" spans="1:16" ht="18.75" x14ac:dyDescent="0.25">
      <c r="A250" s="415"/>
      <c r="B250" s="414"/>
      <c r="C250" s="414"/>
      <c r="D250" s="418" t="s">
        <v>41</v>
      </c>
      <c r="E250" s="412"/>
      <c r="F250" s="412"/>
      <c r="G250" s="411"/>
      <c r="H250" s="411"/>
      <c r="I250" s="417"/>
      <c r="J250" s="417"/>
      <c r="K250" s="406"/>
      <c r="L250" s="406"/>
      <c r="M250" s="406"/>
      <c r="N250" s="406"/>
      <c r="O250" s="416"/>
      <c r="P250" s="416"/>
    </row>
    <row r="251" spans="1:16" ht="18.75" x14ac:dyDescent="0.25">
      <c r="A251" s="415"/>
      <c r="B251" s="414"/>
      <c r="C251" s="414"/>
      <c r="D251" s="414"/>
      <c r="E251" s="413" t="s">
        <v>104</v>
      </c>
      <c r="F251" s="412"/>
      <c r="G251" s="411"/>
      <c r="H251" s="410" t="s">
        <v>33</v>
      </c>
      <c r="I251" s="409">
        <v>0</v>
      </c>
      <c r="J251" s="408">
        <v>0</v>
      </c>
      <c r="K251" s="407">
        <f>IF(I251&gt;0,J251*100/I251,0)</f>
        <v>0</v>
      </c>
      <c r="L251" s="406"/>
      <c r="M251" s="406"/>
      <c r="N251" s="406"/>
      <c r="O251" s="406"/>
      <c r="P251" s="406"/>
    </row>
    <row r="252" spans="1:16" ht="18.75" x14ac:dyDescent="0.25">
      <c r="A252" s="415"/>
      <c r="B252" s="414"/>
      <c r="C252" s="414"/>
      <c r="D252" s="414"/>
      <c r="E252" s="413" t="s">
        <v>105</v>
      </c>
      <c r="F252" s="412"/>
      <c r="G252" s="411"/>
      <c r="H252" s="410" t="s">
        <v>54</v>
      </c>
      <c r="I252" s="409">
        <v>0</v>
      </c>
      <c r="J252" s="408">
        <v>0</v>
      </c>
      <c r="K252" s="407">
        <f>IF(I252&gt;0,J252*100/I252,0)</f>
        <v>0</v>
      </c>
      <c r="L252" s="406"/>
      <c r="M252" s="406"/>
      <c r="N252" s="406"/>
      <c r="O252" s="406"/>
      <c r="P252" s="406"/>
    </row>
    <row r="253" spans="1:16" ht="19.5" x14ac:dyDescent="0.3">
      <c r="A253" s="444"/>
      <c r="B253" s="443"/>
      <c r="C253" s="442" t="s">
        <v>159</v>
      </c>
      <c r="D253" s="441"/>
      <c r="E253" s="441"/>
      <c r="F253" s="441"/>
      <c r="G253" s="440"/>
      <c r="H253" s="439" t="s">
        <v>33</v>
      </c>
      <c r="I253" s="438">
        <f ca="1">I260</f>
        <v>40</v>
      </c>
      <c r="J253" s="438">
        <f>J260</f>
        <v>0</v>
      </c>
      <c r="K253" s="437">
        <f ca="1">IF(I253&gt;0,J253*100/I253,0)</f>
        <v>0</v>
      </c>
      <c r="L253" s="436"/>
      <c r="M253" s="436"/>
      <c r="N253" s="436"/>
      <c r="O253" s="436"/>
      <c r="P253" s="436"/>
    </row>
    <row r="254" spans="1:16" ht="19.5" x14ac:dyDescent="0.3">
      <c r="A254" s="431"/>
      <c r="B254" s="428"/>
      <c r="C254" s="435" t="s">
        <v>16</v>
      </c>
      <c r="D254" s="465" t="s">
        <v>17</v>
      </c>
      <c r="E254" s="428"/>
      <c r="F254" s="428"/>
      <c r="G254" s="427"/>
      <c r="H254" s="433" t="s">
        <v>12</v>
      </c>
      <c r="I254" s="420"/>
      <c r="J254" s="420"/>
      <c r="K254" s="416"/>
      <c r="L254" s="432">
        <f ca="1">L255+L256+L257+L258</f>
        <v>186000</v>
      </c>
      <c r="M254" s="406"/>
      <c r="N254" s="432">
        <f>N255+N256+N257+N258</f>
        <v>0</v>
      </c>
      <c r="O254" s="432">
        <f ca="1">IF(L254&gt;0,N254*100/L254,0)</f>
        <v>0</v>
      </c>
      <c r="P254" s="432">
        <f>IF(M254&gt;0,N254*100/M254,0)</f>
        <v>0</v>
      </c>
    </row>
    <row r="255" spans="1:16" ht="18.75" x14ac:dyDescent="0.25">
      <c r="A255" s="431"/>
      <c r="B255" s="429"/>
      <c r="C255" s="428"/>
      <c r="D255" s="253" t="s">
        <v>153</v>
      </c>
      <c r="E255" s="428"/>
      <c r="F255" s="428"/>
      <c r="G255" s="427"/>
      <c r="H255" s="426" t="s">
        <v>12</v>
      </c>
      <c r="I255" s="420"/>
      <c r="J255" s="420"/>
      <c r="K255" s="416"/>
      <c r="L255" s="407">
        <f ca="1">IFERROR(__xludf.DUMMYFUNCTION("IMPORTRANGE(""https://docs.google.com/spreadsheets/d/1eHaY18a8A9IcSdp1K8H6x8fbOy06t2VsZHhMHf-1x7Y/edit?usp=sharing"",""แผน!BB19"")"),99000)</f>
        <v>99000</v>
      </c>
      <c r="M255" s="406"/>
      <c r="N255" s="425">
        <v>0</v>
      </c>
      <c r="O255" s="406"/>
      <c r="P255" s="406"/>
    </row>
    <row r="256" spans="1:16" ht="18.75" x14ac:dyDescent="0.25">
      <c r="A256" s="430"/>
      <c r="B256" s="429"/>
      <c r="C256" s="429"/>
      <c r="D256" s="254" t="s">
        <v>81</v>
      </c>
      <c r="E256" s="428"/>
      <c r="F256" s="428"/>
      <c r="G256" s="427"/>
      <c r="H256" s="426" t="s">
        <v>12</v>
      </c>
      <c r="I256" s="417"/>
      <c r="J256" s="417"/>
      <c r="K256" s="406"/>
      <c r="L256" s="407">
        <f ca="1">IFERROR(__xludf.DUMMYFUNCTION("IMPORTRANGE(""https://docs.google.com/spreadsheets/d/1eHaY18a8A9IcSdp1K8H6x8fbOy06t2VsZHhMHf-1x7Y/edit?usp=sharing"",""แผน!BC19"")"),2000)</f>
        <v>2000</v>
      </c>
      <c r="M256" s="406"/>
      <c r="N256" s="425">
        <v>0</v>
      </c>
      <c r="O256" s="406"/>
      <c r="P256" s="406"/>
    </row>
    <row r="257" spans="1:16" ht="18.75" x14ac:dyDescent="0.25">
      <c r="A257" s="430"/>
      <c r="B257" s="429"/>
      <c r="C257" s="429"/>
      <c r="D257" s="254" t="s">
        <v>82</v>
      </c>
      <c r="E257" s="428"/>
      <c r="F257" s="428"/>
      <c r="G257" s="427"/>
      <c r="H257" s="426" t="s">
        <v>12</v>
      </c>
      <c r="I257" s="417"/>
      <c r="J257" s="417"/>
      <c r="K257" s="406"/>
      <c r="L257" s="407">
        <f ca="1">IFERROR(__xludf.DUMMYFUNCTION("IMPORTRANGE(""https://docs.google.com/spreadsheets/d/1eHaY18a8A9IcSdp1K8H6x8fbOy06t2VsZHhMHf-1x7Y/edit?usp=sharing"",""แผน!BD19"")"),32000)</f>
        <v>32000</v>
      </c>
      <c r="M257" s="406"/>
      <c r="N257" s="425">
        <v>0</v>
      </c>
      <c r="O257" s="406"/>
      <c r="P257" s="406"/>
    </row>
    <row r="258" spans="1:16" ht="18.75" x14ac:dyDescent="0.25">
      <c r="A258" s="430"/>
      <c r="B258" s="429"/>
      <c r="C258" s="429"/>
      <c r="D258" s="254" t="s">
        <v>83</v>
      </c>
      <c r="E258" s="428"/>
      <c r="F258" s="428"/>
      <c r="G258" s="427"/>
      <c r="H258" s="426" t="s">
        <v>12</v>
      </c>
      <c r="I258" s="417"/>
      <c r="J258" s="417"/>
      <c r="K258" s="406"/>
      <c r="L258" s="407">
        <f ca="1">IFERROR(__xludf.DUMMYFUNCTION("IMPORTRANGE(""https://docs.google.com/spreadsheets/d/1eHaY18a8A9IcSdp1K8H6x8fbOy06t2VsZHhMHf-1x7Y/edit?usp=sharing"",""แผน!BE19"")"),53000)</f>
        <v>53000</v>
      </c>
      <c r="M258" s="406"/>
      <c r="N258" s="425">
        <v>0</v>
      </c>
      <c r="O258" s="406"/>
      <c r="P258" s="406"/>
    </row>
    <row r="259" spans="1:16" ht="19.5" x14ac:dyDescent="0.3">
      <c r="A259" s="415"/>
      <c r="B259" s="414"/>
      <c r="C259" s="424" t="s">
        <v>16</v>
      </c>
      <c r="D259" s="423" t="s">
        <v>36</v>
      </c>
      <c r="E259" s="422"/>
      <c r="F259" s="422"/>
      <c r="G259" s="421"/>
      <c r="H259" s="411"/>
      <c r="I259" s="420"/>
      <c r="J259" s="417"/>
      <c r="K259" s="406"/>
      <c r="L259" s="406"/>
      <c r="M259" s="406"/>
      <c r="N259" s="406"/>
      <c r="O259" s="416"/>
      <c r="P259" s="416"/>
    </row>
    <row r="260" spans="1:16" ht="18.75" x14ac:dyDescent="0.25">
      <c r="A260" s="415"/>
      <c r="B260" s="414"/>
      <c r="C260" s="414"/>
      <c r="D260" s="419" t="s">
        <v>103</v>
      </c>
      <c r="E260" s="412"/>
      <c r="F260" s="412"/>
      <c r="G260" s="411"/>
      <c r="H260" s="410" t="s">
        <v>33</v>
      </c>
      <c r="I260" s="409">
        <f ca="1">IFERROR(__xludf.DUMMYFUNCTION("IMPORTRANGE(""https://docs.google.com/spreadsheets/d/1eHaY18a8A9IcSdp1K8H6x8fbOy06t2VsZHhMHf-1x7Y/edit?usp=sharing"",""แผน!BH19"")"),40)</f>
        <v>40</v>
      </c>
      <c r="J260" s="408">
        <v>0</v>
      </c>
      <c r="K260" s="407">
        <f ca="1">IF(I260&gt;0,J260*100/I260,0)</f>
        <v>0</v>
      </c>
      <c r="L260" s="406"/>
      <c r="M260" s="406"/>
      <c r="N260" s="406"/>
      <c r="O260" s="406"/>
      <c r="P260" s="406"/>
    </row>
    <row r="261" spans="1:16" ht="18.75" x14ac:dyDescent="0.25">
      <c r="A261" s="415"/>
      <c r="B261" s="414"/>
      <c r="C261" s="414"/>
      <c r="D261" s="418" t="s">
        <v>41</v>
      </c>
      <c r="E261" s="412"/>
      <c r="F261" s="412"/>
      <c r="G261" s="411"/>
      <c r="H261" s="411"/>
      <c r="I261" s="417"/>
      <c r="J261" s="417"/>
      <c r="K261" s="406"/>
      <c r="L261" s="406"/>
      <c r="M261" s="406"/>
      <c r="N261" s="406"/>
      <c r="O261" s="416"/>
      <c r="P261" s="416"/>
    </row>
    <row r="262" spans="1:16" ht="18.75" x14ac:dyDescent="0.25">
      <c r="A262" s="415"/>
      <c r="B262" s="414"/>
      <c r="C262" s="414"/>
      <c r="D262" s="414"/>
      <c r="E262" s="413" t="s">
        <v>104</v>
      </c>
      <c r="F262" s="412"/>
      <c r="G262" s="411"/>
      <c r="H262" s="410" t="s">
        <v>33</v>
      </c>
      <c r="I262" s="417"/>
      <c r="J262" s="408">
        <v>0</v>
      </c>
      <c r="K262" s="407">
        <f>IF(I262&gt;0,J262*100/I262,0)</f>
        <v>0</v>
      </c>
      <c r="L262" s="406"/>
      <c r="M262" s="406"/>
      <c r="N262" s="406"/>
      <c r="O262" s="406"/>
      <c r="P262" s="406"/>
    </row>
    <row r="263" spans="1:16" ht="18.75" x14ac:dyDescent="0.25">
      <c r="A263" s="415"/>
      <c r="B263" s="414"/>
      <c r="C263" s="414"/>
      <c r="D263" s="414"/>
      <c r="E263" s="413" t="s">
        <v>105</v>
      </c>
      <c r="F263" s="412"/>
      <c r="G263" s="411"/>
      <c r="H263" s="410" t="s">
        <v>54</v>
      </c>
      <c r="I263" s="417"/>
      <c r="J263" s="408">
        <v>0</v>
      </c>
      <c r="K263" s="407">
        <f>IF(I263&gt;0,J263*100/I263,0)</f>
        <v>0</v>
      </c>
      <c r="L263" s="406"/>
      <c r="M263" s="406"/>
      <c r="N263" s="406"/>
      <c r="O263" s="406"/>
      <c r="P263" s="406"/>
    </row>
    <row r="264" spans="1:16" ht="19.5" hidden="1" x14ac:dyDescent="0.3">
      <c r="A264" s="272" t="s">
        <v>108</v>
      </c>
      <c r="B264" s="215"/>
      <c r="C264" s="215"/>
      <c r="D264" s="216"/>
      <c r="E264" s="216"/>
      <c r="F264" s="216"/>
      <c r="G264" s="217"/>
      <c r="H264" s="217"/>
      <c r="I264" s="218"/>
      <c r="J264" s="218"/>
      <c r="K264" s="219"/>
      <c r="L264" s="219"/>
      <c r="M264" s="219"/>
      <c r="N264" s="219"/>
      <c r="O264" s="219"/>
      <c r="P264" s="219"/>
    </row>
    <row r="265" spans="1:16" ht="19.5" hidden="1" x14ac:dyDescent="0.3">
      <c r="A265" s="220"/>
      <c r="B265" s="273" t="s">
        <v>109</v>
      </c>
      <c r="C265" s="222"/>
      <c r="D265" s="151"/>
      <c r="E265" s="151"/>
      <c r="F265" s="151"/>
      <c r="G265" s="152"/>
      <c r="H265" s="274" t="s">
        <v>33</v>
      </c>
      <c r="I265" s="275">
        <f>I276</f>
        <v>0</v>
      </c>
      <c r="J265" s="275">
        <f>J276</f>
        <v>0</v>
      </c>
      <c r="K265" s="276">
        <f>IF(I265&gt;0,J265*100/I265,0)</f>
        <v>0</v>
      </c>
      <c r="L265" s="226"/>
      <c r="M265" s="226"/>
      <c r="N265" s="226"/>
      <c r="O265" s="226"/>
      <c r="P265" s="226"/>
    </row>
    <row r="266" spans="1:16" ht="19.5" hidden="1" x14ac:dyDescent="0.3">
      <c r="A266" s="136"/>
      <c r="B266" s="41"/>
      <c r="C266" s="260" t="s">
        <v>16</v>
      </c>
      <c r="D266" s="261" t="s">
        <v>17</v>
      </c>
      <c r="E266" s="41"/>
      <c r="F266" s="41"/>
      <c r="G266" s="43"/>
      <c r="H266" s="277" t="s">
        <v>12</v>
      </c>
      <c r="I266" s="45"/>
      <c r="J266" s="45"/>
      <c r="K266" s="46"/>
      <c r="L266" s="263">
        <f ca="1">L267+L268</f>
        <v>0</v>
      </c>
      <c r="M266" s="263">
        <f ca="1">M267+M268</f>
        <v>0</v>
      </c>
      <c r="N266" s="263">
        <f ca="1">N267+N268</f>
        <v>0</v>
      </c>
      <c r="O266" s="263">
        <f ca="1">IF(L266&gt;0,N266*100/L266,0)</f>
        <v>0</v>
      </c>
      <c r="P266" s="263">
        <f ca="1">IF(M266&gt;0,N266*100/M266,0)</f>
        <v>0</v>
      </c>
    </row>
    <row r="267" spans="1:16" ht="18.75" hidden="1" x14ac:dyDescent="0.25">
      <c r="A267" s="136"/>
      <c r="B267" s="41"/>
      <c r="C267" s="41"/>
      <c r="D267" s="41"/>
      <c r="E267" s="279" t="s">
        <v>18</v>
      </c>
      <c r="F267" s="41"/>
      <c r="G267" s="43"/>
      <c r="H267" s="141" t="s">
        <v>12</v>
      </c>
      <c r="I267" s="45"/>
      <c r="J267" s="45"/>
      <c r="K267" s="46"/>
      <c r="L267" s="50">
        <f>L270+L273</f>
        <v>0</v>
      </c>
      <c r="M267" s="50">
        <f>M270+M273</f>
        <v>0</v>
      </c>
      <c r="N267" s="50">
        <f>N270+N273</f>
        <v>0</v>
      </c>
      <c r="O267" s="50">
        <f>IF(L267&gt;0,N267*100/L267,0)</f>
        <v>0</v>
      </c>
      <c r="P267" s="50">
        <f>IF(M267&gt;0,N267*100/M267,0)</f>
        <v>0</v>
      </c>
    </row>
    <row r="268" spans="1:16" ht="18.75" hidden="1" x14ac:dyDescent="0.25">
      <c r="A268" s="136"/>
      <c r="B268" s="41"/>
      <c r="C268" s="41"/>
      <c r="D268" s="41"/>
      <c r="E268" s="279" t="s">
        <v>19</v>
      </c>
      <c r="F268" s="41"/>
      <c r="G268" s="43"/>
      <c r="H268" s="141" t="s">
        <v>12</v>
      </c>
      <c r="I268" s="45"/>
      <c r="J268" s="45"/>
      <c r="K268" s="46"/>
      <c r="L268" s="50">
        <f ca="1">L271+L274</f>
        <v>0</v>
      </c>
      <c r="M268" s="50">
        <f ca="1">M271+M274</f>
        <v>0</v>
      </c>
      <c r="N268" s="50">
        <f ca="1">N271+N274</f>
        <v>0</v>
      </c>
      <c r="O268" s="50">
        <f ca="1">IF(L268&gt;0,N268*100/L268,0)</f>
        <v>0</v>
      </c>
      <c r="P268" s="50">
        <f ca="1">IF(M268&gt;0,N268*100/M268,0)</f>
        <v>0</v>
      </c>
    </row>
    <row r="269" spans="1:16" ht="18.75" hidden="1" x14ac:dyDescent="0.25">
      <c r="A269" s="136"/>
      <c r="B269" s="41"/>
      <c r="C269" s="41"/>
      <c r="D269" s="278" t="s">
        <v>20</v>
      </c>
      <c r="E269" s="41"/>
      <c r="F269" s="41"/>
      <c r="G269" s="43"/>
      <c r="H269" s="146" t="s">
        <v>12</v>
      </c>
      <c r="I269" s="144"/>
      <c r="J269" s="144"/>
      <c r="K269" s="145"/>
      <c r="L269" s="50">
        <f ca="1">L270+L271</f>
        <v>0</v>
      </c>
      <c r="M269" s="50">
        <f ca="1">M270+M271</f>
        <v>0</v>
      </c>
      <c r="N269" s="50">
        <f ca="1">N270+N271</f>
        <v>0</v>
      </c>
      <c r="O269" s="50">
        <f ca="1">IF(L269&gt;0,N269*100/L269,0)</f>
        <v>0</v>
      </c>
      <c r="P269" s="50">
        <f ca="1">IF(M269&gt;0,N269*100/M269,0)</f>
        <v>0</v>
      </c>
    </row>
    <row r="270" spans="1:16" ht="18.75" hidden="1" x14ac:dyDescent="0.25">
      <c r="A270" s="136"/>
      <c r="B270" s="41"/>
      <c r="C270" s="41"/>
      <c r="D270" s="41"/>
      <c r="E270" s="279" t="s">
        <v>34</v>
      </c>
      <c r="F270" s="41"/>
      <c r="G270" s="43"/>
      <c r="H270" s="146" t="s">
        <v>12</v>
      </c>
      <c r="I270" s="144"/>
      <c r="J270" s="144"/>
      <c r="K270" s="145"/>
      <c r="L270" s="50">
        <v>0</v>
      </c>
      <c r="M270" s="50">
        <v>0</v>
      </c>
      <c r="N270" s="50">
        <v>0</v>
      </c>
      <c r="O270" s="50">
        <f>IF(L270&gt;0,N270*100/L270,0)</f>
        <v>0</v>
      </c>
      <c r="P270" s="50">
        <f>IF(M270&gt;0,N270*100/M270,0)</f>
        <v>0</v>
      </c>
    </row>
    <row r="271" spans="1:16" ht="18.75" hidden="1" x14ac:dyDescent="0.25">
      <c r="A271" s="136"/>
      <c r="B271" s="41"/>
      <c r="C271" s="41"/>
      <c r="D271" s="41"/>
      <c r="E271" s="279" t="s">
        <v>35</v>
      </c>
      <c r="F271" s="41"/>
      <c r="G271" s="43"/>
      <c r="H271" s="146" t="s">
        <v>12</v>
      </c>
      <c r="I271" s="144"/>
      <c r="J271" s="144"/>
      <c r="K271" s="145"/>
      <c r="L271" s="50">
        <f ca="1">IFERROR(__xludf.DUMMYFUNCTION("IMPORTRANGE(""https://docs.google.com/spreadsheets/d/1-uDff_7J0KD5mKrp0Vvzr7lt3OU09vwQwhkpOPPYv2Y/edit?usp=sharing"",""งบพรบ!DE19"")"),0)</f>
        <v>0</v>
      </c>
      <c r="M271" s="50">
        <f ca="1">IFERROR(__xludf.DUMMYFUNCTION("IMPORTRANGE(""https://docs.google.com/spreadsheets/d/1-uDff_7J0KD5mKrp0Vvzr7lt3OU09vwQwhkpOPPYv2Y/edit?usp=sharing"",""งบพรบ!DJ19"")"),0)</f>
        <v>0</v>
      </c>
      <c r="N271" s="50">
        <f ca="1">IFERROR(__xludf.DUMMYFUNCTION("IMPORTRANGE(""https://docs.google.com/spreadsheets/d/1-uDff_7J0KD5mKrp0Vvzr7lt3OU09vwQwhkpOPPYv2Y/edit?usp=sharing"",""งบพรบ!DL19"")"),0)</f>
        <v>0</v>
      </c>
      <c r="O271" s="50">
        <f ca="1">IF(L271&gt;0,N271*100/L271,0)</f>
        <v>0</v>
      </c>
      <c r="P271" s="50">
        <f ca="1">IF(M271&gt;0,N271*100/M271,0)</f>
        <v>0</v>
      </c>
    </row>
    <row r="272" spans="1:16" ht="18.75" hidden="1" x14ac:dyDescent="0.25">
      <c r="A272" s="136"/>
      <c r="B272" s="41"/>
      <c r="C272" s="41"/>
      <c r="D272" s="278" t="s">
        <v>21</v>
      </c>
      <c r="E272" s="41"/>
      <c r="F272" s="41"/>
      <c r="G272" s="43"/>
      <c r="H272" s="199" t="s">
        <v>12</v>
      </c>
      <c r="I272" s="144"/>
      <c r="J272" s="144"/>
      <c r="K272" s="145"/>
      <c r="L272" s="50">
        <f ca="1">L273+L274</f>
        <v>0</v>
      </c>
      <c r="M272" s="50">
        <f ca="1">M273+M274</f>
        <v>0</v>
      </c>
      <c r="N272" s="50">
        <f ca="1">N273+N274</f>
        <v>0</v>
      </c>
      <c r="O272" s="50">
        <f ca="1">IF(L272&gt;0,N272*100/L272,0)</f>
        <v>0</v>
      </c>
      <c r="P272" s="50">
        <f ca="1">IF(M272&gt;0,N272*100/M272,0)</f>
        <v>0</v>
      </c>
    </row>
    <row r="273" spans="1:16" ht="18.75" hidden="1" x14ac:dyDescent="0.25">
      <c r="A273" s="136"/>
      <c r="B273" s="41"/>
      <c r="C273" s="41"/>
      <c r="D273" s="41"/>
      <c r="E273" s="279" t="s">
        <v>18</v>
      </c>
      <c r="F273" s="41"/>
      <c r="G273" s="43"/>
      <c r="H273" s="146" t="s">
        <v>12</v>
      </c>
      <c r="I273" s="144"/>
      <c r="J273" s="144"/>
      <c r="K273" s="145"/>
      <c r="L273" s="50">
        <v>0</v>
      </c>
      <c r="M273" s="50">
        <v>0</v>
      </c>
      <c r="N273" s="50">
        <v>0</v>
      </c>
      <c r="O273" s="50">
        <f>IF(L273&gt;0,N273*100/L273,0)</f>
        <v>0</v>
      </c>
      <c r="P273" s="50">
        <f>IF(M273&gt;0,N273*100/M273,0)</f>
        <v>0</v>
      </c>
    </row>
    <row r="274" spans="1:16" ht="18.75" hidden="1" x14ac:dyDescent="0.25">
      <c r="A274" s="136"/>
      <c r="B274" s="41"/>
      <c r="C274" s="41"/>
      <c r="D274" s="41"/>
      <c r="E274" s="279" t="s">
        <v>19</v>
      </c>
      <c r="F274" s="41"/>
      <c r="G274" s="43"/>
      <c r="H274" s="199" t="s">
        <v>12</v>
      </c>
      <c r="I274" s="144"/>
      <c r="J274" s="144"/>
      <c r="K274" s="145"/>
      <c r="L274" s="50">
        <f ca="1">IFERROR(__xludf.DUMMYFUNCTION("IMPORTRANGE(""https://docs.google.com/spreadsheets/d/1-uDff_7J0KD5mKrp0Vvzr7lt3OU09vwQwhkpOPPYv2Y/edit?usp=sharing"",""งบพรบ!DH19"")"),0)</f>
        <v>0</v>
      </c>
      <c r="M274" s="50">
        <f ca="1">IFERROR(__xludf.DUMMYFUNCTION("IMPORTRANGE(""https://docs.google.com/spreadsheets/d/1-uDff_7J0KD5mKrp0Vvzr7lt3OU09vwQwhkpOPPYv2Y/edit?usp=sharing"",""งบพรบ!DK19"")"),0)</f>
        <v>0</v>
      </c>
      <c r="N274" s="50">
        <f ca="1">IFERROR(__xludf.DUMMYFUNCTION("IMPORTRANGE(""https://docs.google.com/spreadsheets/d/1-uDff_7J0KD5mKrp0Vvzr7lt3OU09vwQwhkpOPPYv2Y/edit?usp=sharing"",""งบพรบ!DM19"")"),0)</f>
        <v>0</v>
      </c>
      <c r="O274" s="50">
        <f ca="1">IF(L274&gt;0,N274*100/L274,0)</f>
        <v>0</v>
      </c>
      <c r="P274" s="50">
        <f ca="1">IF(M274&gt;0,N274*100/M274,0)</f>
        <v>0</v>
      </c>
    </row>
    <row r="275" spans="1:16" ht="19.5" hidden="1" x14ac:dyDescent="0.3">
      <c r="A275" s="148"/>
      <c r="B275" s="149"/>
      <c r="C275" s="279" t="s">
        <v>16</v>
      </c>
      <c r="D275" s="394" t="s">
        <v>36</v>
      </c>
      <c r="E275" s="151"/>
      <c r="F275" s="151"/>
      <c r="G275" s="152"/>
      <c r="H275" s="153"/>
      <c r="I275" s="144"/>
      <c r="J275" s="144"/>
      <c r="K275" s="145"/>
      <c r="L275" s="145"/>
      <c r="M275" s="145"/>
      <c r="N275" s="145"/>
      <c r="O275" s="145"/>
      <c r="P275" s="145"/>
    </row>
    <row r="276" spans="1:16" ht="12.75" hidden="1" x14ac:dyDescent="0.2">
      <c r="A276" s="165"/>
      <c r="B276" s="166"/>
      <c r="C276" s="166"/>
      <c r="D276" s="16"/>
      <c r="E276" s="16"/>
      <c r="F276" s="16"/>
      <c r="G276" s="17"/>
      <c r="H276" s="17"/>
      <c r="I276" s="18"/>
      <c r="J276" s="18"/>
      <c r="K276" s="19"/>
      <c r="L276" s="19"/>
      <c r="M276" s="19"/>
      <c r="N276" s="19"/>
      <c r="O276" s="19"/>
      <c r="P276" s="19"/>
    </row>
    <row r="277" spans="1:16" ht="18.75" hidden="1" x14ac:dyDescent="0.25">
      <c r="A277" s="280"/>
      <c r="B277" s="281"/>
      <c r="C277" s="281"/>
      <c r="D277" s="282" t="s">
        <v>110</v>
      </c>
      <c r="E277" s="283"/>
      <c r="F277" s="283"/>
      <c r="G277" s="284"/>
      <c r="H277" s="285" t="s">
        <v>33</v>
      </c>
      <c r="I277" s="205">
        <v>0</v>
      </c>
      <c r="J277" s="205">
        <v>0</v>
      </c>
      <c r="K277" s="286">
        <v>0</v>
      </c>
      <c r="L277" s="287"/>
      <c r="M277" s="287"/>
      <c r="N277" s="287"/>
      <c r="O277" s="287"/>
      <c r="P277" s="287"/>
    </row>
    <row r="278" spans="1:16" ht="19.5" x14ac:dyDescent="0.3">
      <c r="A278" s="288" t="s">
        <v>111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</row>
    <row r="279" spans="1:16" ht="19.5" x14ac:dyDescent="0.3">
      <c r="A279" s="294" t="s">
        <v>112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299"/>
      <c r="M279" s="299"/>
      <c r="N279" s="299"/>
      <c r="O279" s="299"/>
      <c r="P279" s="299"/>
    </row>
    <row r="280" spans="1:16" ht="19.5" x14ac:dyDescent="0.3">
      <c r="A280" s="300"/>
      <c r="B280" s="301" t="s">
        <v>113</v>
      </c>
      <c r="C280" s="302"/>
      <c r="D280" s="303"/>
      <c r="E280" s="302"/>
      <c r="F280" s="302"/>
      <c r="G280" s="304"/>
      <c r="H280" s="305" t="s">
        <v>33</v>
      </c>
      <c r="I280" s="306">
        <f ca="1">I293</f>
        <v>10</v>
      </c>
      <c r="J280" s="306">
        <f>J293</f>
        <v>0</v>
      </c>
      <c r="K280" s="307">
        <f ca="1">IF(I280&gt;0,J280*100/I280,0)</f>
        <v>0</v>
      </c>
      <c r="L280" s="308"/>
      <c r="M280" s="308"/>
      <c r="N280" s="308"/>
      <c r="O280" s="308"/>
      <c r="P280" s="308"/>
    </row>
    <row r="281" spans="1:16" ht="19.5" x14ac:dyDescent="0.3">
      <c r="A281" s="300"/>
      <c r="B281" s="302"/>
      <c r="C281" s="302"/>
      <c r="D281" s="303"/>
      <c r="E281" s="302"/>
      <c r="F281" s="302"/>
      <c r="G281" s="304"/>
      <c r="H281" s="305" t="s">
        <v>44</v>
      </c>
      <c r="I281" s="306">
        <f ca="1">I292</f>
        <v>100</v>
      </c>
      <c r="J281" s="306">
        <f>J292</f>
        <v>0</v>
      </c>
      <c r="K281" s="307">
        <f ca="1">IF(I281&gt;0,J281*100/I281,0)</f>
        <v>0</v>
      </c>
      <c r="L281" s="308"/>
      <c r="M281" s="308"/>
      <c r="N281" s="308"/>
      <c r="O281" s="308"/>
      <c r="P281" s="308"/>
    </row>
    <row r="282" spans="1:16" ht="19.5" x14ac:dyDescent="0.3">
      <c r="A282" s="136"/>
      <c r="B282" s="41"/>
      <c r="C282" s="197" t="s">
        <v>16</v>
      </c>
      <c r="D282" s="397" t="s">
        <v>17</v>
      </c>
      <c r="E282" s="41"/>
      <c r="F282" s="41"/>
      <c r="G282" s="43"/>
      <c r="H282" s="139" t="s">
        <v>12</v>
      </c>
      <c r="I282" s="45"/>
      <c r="J282" s="45"/>
      <c r="K282" s="46"/>
      <c r="L282" s="140">
        <f ca="1">L283+L284</f>
        <v>137220</v>
      </c>
      <c r="M282" s="140">
        <f ca="1">M283+M284</f>
        <v>102480</v>
      </c>
      <c r="N282" s="140">
        <f ca="1">N283+N284</f>
        <v>17050</v>
      </c>
      <c r="O282" s="140">
        <f ca="1">IF(L282&gt;0,N282*100/L282,0)</f>
        <v>12.425302434047515</v>
      </c>
      <c r="P282" s="140">
        <f ca="1">IF(M282&gt;0,N282*100/M282,0)</f>
        <v>16.637392661982826</v>
      </c>
    </row>
    <row r="283" spans="1:16" ht="18.75" hidden="1" x14ac:dyDescent="0.25">
      <c r="A283" s="136"/>
      <c r="B283" s="41"/>
      <c r="C283" s="41"/>
      <c r="D283" s="41"/>
      <c r="E283" s="279" t="s">
        <v>18</v>
      </c>
      <c r="F283" s="41"/>
      <c r="G283" s="43"/>
      <c r="H283" s="141" t="s">
        <v>12</v>
      </c>
      <c r="I283" s="45"/>
      <c r="J283" s="45"/>
      <c r="K283" s="46"/>
      <c r="L283" s="50">
        <f>L286+L289</f>
        <v>0</v>
      </c>
      <c r="M283" s="50">
        <f>M286+M289</f>
        <v>0</v>
      </c>
      <c r="N283" s="50">
        <f>N286+N289</f>
        <v>0</v>
      </c>
      <c r="O283" s="50">
        <f>IF(L283&gt;0,N283*100/L283,0)</f>
        <v>0</v>
      </c>
      <c r="P283" s="50">
        <f>IF(M283&gt;0,N283*100/M283,0)</f>
        <v>0</v>
      </c>
    </row>
    <row r="284" spans="1:16" ht="18.75" x14ac:dyDescent="0.25">
      <c r="A284" s="136"/>
      <c r="B284" s="41"/>
      <c r="C284" s="41"/>
      <c r="D284" s="41"/>
      <c r="E284" s="254" t="s">
        <v>19</v>
      </c>
      <c r="F284" s="41"/>
      <c r="G284" s="43"/>
      <c r="H284" s="142" t="s">
        <v>12</v>
      </c>
      <c r="I284" s="45"/>
      <c r="J284" s="45"/>
      <c r="K284" s="46"/>
      <c r="L284" s="47">
        <f ca="1">L287+L290</f>
        <v>137220</v>
      </c>
      <c r="M284" s="47">
        <f ca="1">M287+M290</f>
        <v>102480</v>
      </c>
      <c r="N284" s="47">
        <f ca="1">N287+N290</f>
        <v>17050</v>
      </c>
      <c r="O284" s="47">
        <f ca="1">IF(L284&gt;0,N284*100/L284,0)</f>
        <v>12.425302434047515</v>
      </c>
      <c r="P284" s="47">
        <f ca="1">IF(M284&gt;0,N284*100/M284,0)</f>
        <v>16.637392661982826</v>
      </c>
    </row>
    <row r="285" spans="1:16" ht="18.75" x14ac:dyDescent="0.25">
      <c r="A285" s="136"/>
      <c r="B285" s="41"/>
      <c r="C285" s="41"/>
      <c r="D285" s="42" t="s">
        <v>20</v>
      </c>
      <c r="E285" s="41"/>
      <c r="F285" s="41"/>
      <c r="G285" s="43"/>
      <c r="H285" s="143" t="s">
        <v>12</v>
      </c>
      <c r="I285" s="144"/>
      <c r="J285" s="144"/>
      <c r="K285" s="145"/>
      <c r="L285" s="47">
        <f ca="1">L286+L287</f>
        <v>137220</v>
      </c>
      <c r="M285" s="47">
        <f ca="1">M286+M287</f>
        <v>102480</v>
      </c>
      <c r="N285" s="47">
        <f ca="1">N286+N287</f>
        <v>17050</v>
      </c>
      <c r="O285" s="47">
        <f ca="1">IF(L285&gt;0,N285*100/L285,0)</f>
        <v>12.425302434047515</v>
      </c>
      <c r="P285" s="47">
        <f ca="1">IF(M285&gt;0,N285*100/M285,0)</f>
        <v>16.637392661982826</v>
      </c>
    </row>
    <row r="286" spans="1:16" ht="18.75" hidden="1" x14ac:dyDescent="0.25">
      <c r="A286" s="136"/>
      <c r="B286" s="41"/>
      <c r="C286" s="41"/>
      <c r="D286" s="41"/>
      <c r="E286" s="279" t="s">
        <v>34</v>
      </c>
      <c r="F286" s="41"/>
      <c r="G286" s="43"/>
      <c r="H286" s="146" t="s">
        <v>12</v>
      </c>
      <c r="I286" s="144"/>
      <c r="J286" s="144"/>
      <c r="K286" s="145"/>
      <c r="L286" s="50">
        <v>0</v>
      </c>
      <c r="M286" s="50">
        <v>0</v>
      </c>
      <c r="N286" s="50">
        <v>0</v>
      </c>
      <c r="O286" s="50">
        <f>IF(L286&gt;0,N286*100/L286,0)</f>
        <v>0</v>
      </c>
      <c r="P286" s="50">
        <f>IF(M286&gt;0,N286*100/M286,0)</f>
        <v>0</v>
      </c>
    </row>
    <row r="287" spans="1:16" ht="18.75" x14ac:dyDescent="0.25">
      <c r="A287" s="136"/>
      <c r="B287" s="41"/>
      <c r="C287" s="41"/>
      <c r="D287" s="41"/>
      <c r="E287" s="254" t="s">
        <v>35</v>
      </c>
      <c r="F287" s="41"/>
      <c r="G287" s="43"/>
      <c r="H287" s="143" t="s">
        <v>12</v>
      </c>
      <c r="I287" s="144"/>
      <c r="J287" s="144"/>
      <c r="K287" s="145"/>
      <c r="L287" s="47">
        <f ca="1">IFERROR(__xludf.DUMMYFUNCTION("IMPORTRANGE(""https://docs.google.com/spreadsheets/d/1-uDff_7J0KD5mKrp0Vvzr7lt3OU09vwQwhkpOPPYv2Y/edit?usp=sharing"",""งบพรบ!DO19"")"),137220)</f>
        <v>137220</v>
      </c>
      <c r="M287" s="47">
        <f ca="1">IFERROR(__xludf.DUMMYFUNCTION("IMPORTRANGE(""https://docs.google.com/spreadsheets/d/1-uDff_7J0KD5mKrp0Vvzr7lt3OU09vwQwhkpOPPYv2Y/edit?usp=sharing"",""งบพรบ!DT19"")"),102480)</f>
        <v>102480</v>
      </c>
      <c r="N287" s="47">
        <f ca="1">IFERROR(__xludf.DUMMYFUNCTION("IMPORTRANGE(""https://docs.google.com/spreadsheets/d/1-uDff_7J0KD5mKrp0Vvzr7lt3OU09vwQwhkpOPPYv2Y/edit?usp=sharing"",""งบพรบ!DV19"")"),17050)</f>
        <v>17050</v>
      </c>
      <c r="O287" s="47">
        <f ca="1">IF(L287&gt;0,N287*100/L287,0)</f>
        <v>12.425302434047515</v>
      </c>
      <c r="P287" s="47">
        <f ca="1">IF(M287&gt;0,N287*100/M287,0)</f>
        <v>16.637392661982826</v>
      </c>
    </row>
    <row r="288" spans="1:16" ht="18.75" x14ac:dyDescent="0.25">
      <c r="A288" s="136"/>
      <c r="B288" s="41"/>
      <c r="C288" s="41"/>
      <c r="D288" s="42" t="s">
        <v>21</v>
      </c>
      <c r="E288" s="41"/>
      <c r="F288" s="41"/>
      <c r="G288" s="43"/>
      <c r="H288" s="147" t="s">
        <v>12</v>
      </c>
      <c r="I288" s="144"/>
      <c r="J288" s="144"/>
      <c r="K288" s="145"/>
      <c r="L288" s="47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</row>
    <row r="289" spans="1:16" ht="18.75" hidden="1" x14ac:dyDescent="0.25">
      <c r="A289" s="136"/>
      <c r="B289" s="41"/>
      <c r="C289" s="41"/>
      <c r="D289" s="41"/>
      <c r="E289" s="279" t="s">
        <v>18</v>
      </c>
      <c r="F289" s="41"/>
      <c r="G289" s="43"/>
      <c r="H289" s="146" t="s">
        <v>12</v>
      </c>
      <c r="I289" s="144"/>
      <c r="J289" s="144"/>
      <c r="K289" s="145"/>
      <c r="L289" s="50">
        <v>0</v>
      </c>
      <c r="M289" s="50">
        <v>0</v>
      </c>
      <c r="N289" s="50">
        <v>0</v>
      </c>
      <c r="O289" s="50">
        <f>IF(L289&gt;0,N289*100/L289,0)</f>
        <v>0</v>
      </c>
      <c r="P289" s="50">
        <f>IF(M289&gt;0,N289*100/M289,0)</f>
        <v>0</v>
      </c>
    </row>
    <row r="290" spans="1:16" ht="18.75" x14ac:dyDescent="0.25">
      <c r="A290" s="136"/>
      <c r="B290" s="41"/>
      <c r="C290" s="41"/>
      <c r="D290" s="41"/>
      <c r="E290" s="254" t="s">
        <v>19</v>
      </c>
      <c r="F290" s="41"/>
      <c r="G290" s="43"/>
      <c r="H290" s="147" t="s">
        <v>12</v>
      </c>
      <c r="I290" s="144"/>
      <c r="J290" s="144"/>
      <c r="K290" s="145"/>
      <c r="L290" s="47">
        <f ca="1">IFERROR(__xludf.DUMMYFUNCTION("IMPORTRANGE(""https://docs.google.com/spreadsheets/d/1-uDff_7J0KD5mKrp0Vvzr7lt3OU09vwQwhkpOPPYv2Y/edit?usp=sharing"",""งบพรบ!DR19"")"),0)</f>
        <v>0</v>
      </c>
      <c r="M290" s="47">
        <f ca="1">IFERROR(__xludf.DUMMYFUNCTION("IMPORTRANGE(""https://docs.google.com/spreadsheets/d/1-uDff_7J0KD5mKrp0Vvzr7lt3OU09vwQwhkpOPPYv2Y/edit?usp=sharing"",""งบพรบ!DU19"")"),0)</f>
        <v>0</v>
      </c>
      <c r="N290" s="47">
        <f ca="1">IFERROR(__xludf.DUMMYFUNCTION("IMPORTRANGE(""https://docs.google.com/spreadsheets/d/1-uDff_7J0KD5mKrp0Vvzr7lt3OU09vwQwhkpOPPYv2Y/edit?usp=sharing"",""งบพรบ!DW19"")"),0)</f>
        <v>0</v>
      </c>
      <c r="O290" s="47">
        <f ca="1">IF(L290&gt;0,N290*100/L290,0)</f>
        <v>0</v>
      </c>
      <c r="P290" s="47">
        <f ca="1">IF(M290&gt;0,N290*100/M290,0)</f>
        <v>0</v>
      </c>
    </row>
    <row r="291" spans="1:16" ht="19.5" x14ac:dyDescent="0.3">
      <c r="A291" s="148"/>
      <c r="B291" s="149"/>
      <c r="C291" s="197" t="s">
        <v>16</v>
      </c>
      <c r="D291" s="395" t="s">
        <v>36</v>
      </c>
      <c r="E291" s="151"/>
      <c r="F291" s="151"/>
      <c r="G291" s="152"/>
      <c r="H291" s="153"/>
      <c r="I291" s="144"/>
      <c r="J291" s="144"/>
      <c r="K291" s="145"/>
      <c r="L291" s="145"/>
      <c r="M291" s="145"/>
      <c r="N291" s="145"/>
      <c r="O291" s="145"/>
      <c r="P291" s="145"/>
    </row>
    <row r="292" spans="1:16" ht="18.75" x14ac:dyDescent="0.25">
      <c r="A292" s="148"/>
      <c r="B292" s="149"/>
      <c r="C292" s="149"/>
      <c r="D292" s="159" t="s">
        <v>114</v>
      </c>
      <c r="E292" s="149"/>
      <c r="F292" s="155"/>
      <c r="G292" s="153"/>
      <c r="H292" s="164" t="s">
        <v>44</v>
      </c>
      <c r="I292" s="169">
        <f ca="1">IFERROR(__xludf.DUMMYFUNCTION("IMPORTRANGE(""https://docs.google.com/spreadsheets/d/1eHaY18a8A9IcSdp1K8H6x8fbOy06t2VsZHhMHf-1x7Y/edit?usp=sharing"",""แผน!EE19"")"),100)</f>
        <v>100</v>
      </c>
      <c r="J292" s="250">
        <v>0</v>
      </c>
      <c r="K292" s="163">
        <f ca="1">IF(I292&gt;0,J292*100/I292,0)</f>
        <v>0</v>
      </c>
      <c r="L292" s="145"/>
      <c r="M292" s="145"/>
      <c r="N292" s="145"/>
      <c r="O292" s="145"/>
      <c r="P292" s="145"/>
    </row>
    <row r="293" spans="1:16" ht="19.5" x14ac:dyDescent="0.3">
      <c r="A293" s="148"/>
      <c r="B293" s="149"/>
      <c r="C293" s="149"/>
      <c r="D293" s="159" t="s">
        <v>115</v>
      </c>
      <c r="E293" s="149"/>
      <c r="F293" s="155"/>
      <c r="G293" s="153"/>
      <c r="H293" s="156" t="s">
        <v>33</v>
      </c>
      <c r="I293" s="157">
        <f ca="1">IFERROR(__xludf.DUMMYFUNCTION("IMPORTRANGE(""https://docs.google.com/spreadsheets/d/1eHaY18a8A9IcSdp1K8H6x8fbOy06t2VsZHhMHf-1x7Y/edit?usp=sharing"",""แผน!ED19"")"),10)</f>
        <v>10</v>
      </c>
      <c r="J293" s="157">
        <f>J296</f>
        <v>0</v>
      </c>
      <c r="K293" s="158">
        <f ca="1">IF(I293&gt;0,J293*100/I293,0)</f>
        <v>0</v>
      </c>
      <c r="L293" s="145"/>
      <c r="M293" s="145"/>
      <c r="N293" s="145"/>
      <c r="O293" s="145"/>
      <c r="P293" s="145"/>
    </row>
    <row r="294" spans="1:16" ht="19.5" x14ac:dyDescent="0.3">
      <c r="A294" s="148"/>
      <c r="B294" s="149"/>
      <c r="C294" s="149"/>
      <c r="D294" s="155"/>
      <c r="E294" s="167" t="s">
        <v>116</v>
      </c>
      <c r="F294" s="155"/>
      <c r="G294" s="153"/>
      <c r="H294" s="153"/>
      <c r="I294" s="144"/>
      <c r="J294" s="45"/>
      <c r="K294" s="145"/>
      <c r="L294" s="145"/>
      <c r="M294" s="145"/>
      <c r="N294" s="145"/>
      <c r="O294" s="145"/>
      <c r="P294" s="145"/>
    </row>
    <row r="295" spans="1:16" ht="19.5" x14ac:dyDescent="0.3">
      <c r="A295" s="148"/>
      <c r="B295" s="149"/>
      <c r="C295" s="149"/>
      <c r="D295" s="155"/>
      <c r="E295" s="159" t="s">
        <v>117</v>
      </c>
      <c r="F295" s="155"/>
      <c r="G295" s="153"/>
      <c r="H295" s="251" t="s">
        <v>33</v>
      </c>
      <c r="I295" s="161">
        <f ca="1">IFERROR(__xludf.DUMMYFUNCTION("IMPORTRANGE(""https://docs.google.com/spreadsheets/d/1eHaY18a8A9IcSdp1K8H6x8fbOy06t2VsZHhMHf-1x7Y/edit?usp=sharing"",""แผน!ED19"")"),10)</f>
        <v>10</v>
      </c>
      <c r="J295" s="250">
        <v>0</v>
      </c>
      <c r="K295" s="163">
        <f ca="1">IF(I295&gt;0,J295*100/I295,0)</f>
        <v>0</v>
      </c>
      <c r="L295" s="145"/>
      <c r="M295" s="145"/>
      <c r="N295" s="145"/>
      <c r="O295" s="145"/>
      <c r="P295" s="145"/>
    </row>
    <row r="296" spans="1:16" ht="19.5" x14ac:dyDescent="0.3">
      <c r="A296" s="148"/>
      <c r="B296" s="149"/>
      <c r="C296" s="149"/>
      <c r="D296" s="155"/>
      <c r="E296" s="159" t="s">
        <v>118</v>
      </c>
      <c r="F296" s="155"/>
      <c r="G296" s="153"/>
      <c r="H296" s="251" t="s">
        <v>33</v>
      </c>
      <c r="I296" s="161">
        <f ca="1">IFERROR(__xludf.DUMMYFUNCTION("IMPORTRANGE(""https://docs.google.com/spreadsheets/d/1eHaY18a8A9IcSdp1K8H6x8fbOy06t2VsZHhMHf-1x7Y/edit?usp=sharing"",""แผน!ED19"")"),10)</f>
        <v>10</v>
      </c>
      <c r="J296" s="250">
        <v>0</v>
      </c>
      <c r="K296" s="163">
        <f ca="1">IF(I296&gt;0,J296*100/I296,0)</f>
        <v>0</v>
      </c>
      <c r="L296" s="145"/>
      <c r="M296" s="145"/>
      <c r="N296" s="145"/>
      <c r="O296" s="145"/>
      <c r="P296" s="145"/>
    </row>
    <row r="297" spans="1:16" ht="12.75" hidden="1" x14ac:dyDescent="0.2">
      <c r="A297" s="165"/>
      <c r="B297" s="166"/>
      <c r="C297" s="166"/>
      <c r="D297" s="16"/>
      <c r="E297" s="16"/>
      <c r="F297" s="16"/>
      <c r="G297" s="17"/>
      <c r="H297" s="17"/>
      <c r="I297" s="18"/>
      <c r="J297" s="18"/>
      <c r="K297" s="19"/>
      <c r="L297" s="19"/>
      <c r="M297" s="19"/>
      <c r="N297" s="19"/>
      <c r="O297" s="19"/>
      <c r="P297" s="19"/>
    </row>
    <row r="298" spans="1:16" ht="12.75" hidden="1" x14ac:dyDescent="0.2">
      <c r="A298" s="165"/>
      <c r="B298" s="166"/>
      <c r="C298" s="166"/>
      <c r="D298" s="16"/>
      <c r="E298" s="16"/>
      <c r="F298" s="16"/>
      <c r="G298" s="17"/>
      <c r="H298" s="17"/>
      <c r="I298" s="18"/>
      <c r="J298" s="18"/>
      <c r="K298" s="19"/>
      <c r="L298" s="19"/>
      <c r="M298" s="19"/>
      <c r="N298" s="19"/>
      <c r="O298" s="19"/>
      <c r="P298" s="19"/>
    </row>
    <row r="299" spans="1:16" ht="12.75" hidden="1" x14ac:dyDescent="0.2">
      <c r="A299" s="309"/>
      <c r="B299" s="310"/>
      <c r="C299" s="310"/>
      <c r="D299" s="21"/>
      <c r="E299" s="21"/>
      <c r="F299" s="21"/>
      <c r="G299" s="12"/>
      <c r="H299" s="12"/>
      <c r="I299" s="13"/>
      <c r="J299" s="13"/>
      <c r="K299" s="14"/>
      <c r="L299" s="14"/>
      <c r="M299" s="14"/>
      <c r="N299" s="14"/>
      <c r="O299" s="14"/>
      <c r="P299" s="14"/>
    </row>
    <row r="300" spans="1:16" ht="19.5" hidden="1" x14ac:dyDescent="0.3">
      <c r="A300" s="311" t="s">
        <v>119</v>
      </c>
      <c r="B300" s="312"/>
      <c r="C300" s="312"/>
      <c r="D300" s="312"/>
      <c r="E300" s="313"/>
      <c r="F300" s="313"/>
      <c r="G300" s="313"/>
      <c r="H300" s="313"/>
      <c r="I300" s="314"/>
      <c r="J300" s="314"/>
      <c r="K300" s="315"/>
      <c r="L300" s="315"/>
      <c r="M300" s="315"/>
      <c r="N300" s="315"/>
      <c r="O300" s="315"/>
      <c r="P300" s="316"/>
    </row>
    <row r="301" spans="1:16" ht="19.5" hidden="1" x14ac:dyDescent="0.3">
      <c r="A301" s="317" t="s">
        <v>120</v>
      </c>
      <c r="B301" s="318"/>
      <c r="C301" s="318"/>
      <c r="D301" s="319"/>
      <c r="E301" s="319"/>
      <c r="F301" s="319"/>
      <c r="G301" s="320"/>
      <c r="H301" s="320"/>
      <c r="I301" s="321"/>
      <c r="J301" s="321"/>
      <c r="K301" s="322"/>
      <c r="L301" s="322"/>
      <c r="M301" s="322"/>
      <c r="N301" s="322"/>
      <c r="O301" s="322"/>
      <c r="P301" s="322"/>
    </row>
    <row r="302" spans="1:16" ht="19.5" hidden="1" x14ac:dyDescent="0.3">
      <c r="A302" s="323"/>
      <c r="B302" s="324" t="s">
        <v>121</v>
      </c>
      <c r="C302" s="325"/>
      <c r="D302" s="325"/>
      <c r="E302" s="325"/>
      <c r="F302" s="325"/>
      <c r="G302" s="326"/>
      <c r="H302" s="327" t="s">
        <v>33</v>
      </c>
      <c r="I302" s="328">
        <f ca="1">I314</f>
        <v>0</v>
      </c>
      <c r="J302" s="328">
        <f>J314</f>
        <v>0</v>
      </c>
      <c r="K302" s="329">
        <f ca="1">IF(I302&gt;0,J302*100/I302,0)</f>
        <v>0</v>
      </c>
      <c r="L302" s="330"/>
      <c r="M302" s="330"/>
      <c r="N302" s="330"/>
      <c r="O302" s="330"/>
      <c r="P302" s="330"/>
    </row>
    <row r="303" spans="1:16" ht="19.5" hidden="1" x14ac:dyDescent="0.3">
      <c r="A303" s="136"/>
      <c r="B303" s="41"/>
      <c r="C303" s="197" t="s">
        <v>16</v>
      </c>
      <c r="D303" s="397" t="s">
        <v>17</v>
      </c>
      <c r="E303" s="41"/>
      <c r="F303" s="41"/>
      <c r="G303" s="43"/>
      <c r="H303" s="139" t="s">
        <v>12</v>
      </c>
      <c r="I303" s="45"/>
      <c r="J303" s="45"/>
      <c r="K303" s="46"/>
      <c r="L303" s="140">
        <f ca="1">L304+L305</f>
        <v>0</v>
      </c>
      <c r="M303" s="140">
        <f ca="1">M304+M305</f>
        <v>0</v>
      </c>
      <c r="N303" s="140">
        <f ca="1">N304+N305</f>
        <v>0</v>
      </c>
      <c r="O303" s="140">
        <f ca="1">IF(L303&gt;0,N303*100/L303,0)</f>
        <v>0</v>
      </c>
      <c r="P303" s="140">
        <f ca="1">IF(M303&gt;0,N303*100/M303,0)</f>
        <v>0</v>
      </c>
    </row>
    <row r="304" spans="1:16" ht="18.75" hidden="1" x14ac:dyDescent="0.25">
      <c r="A304" s="136"/>
      <c r="B304" s="41"/>
      <c r="C304" s="41"/>
      <c r="D304" s="41"/>
      <c r="E304" s="279" t="s">
        <v>18</v>
      </c>
      <c r="F304" s="41"/>
      <c r="G304" s="43"/>
      <c r="H304" s="141" t="s">
        <v>12</v>
      </c>
      <c r="I304" s="45"/>
      <c r="J304" s="45"/>
      <c r="K304" s="46"/>
      <c r="L304" s="50">
        <f>L307+L310</f>
        <v>0</v>
      </c>
      <c r="M304" s="50">
        <f>M307+M310</f>
        <v>0</v>
      </c>
      <c r="N304" s="50">
        <f>N307+N310</f>
        <v>0</v>
      </c>
      <c r="O304" s="50">
        <f>IF(L304&gt;0,N304*100/L304,0)</f>
        <v>0</v>
      </c>
      <c r="P304" s="50">
        <f>IF(M304&gt;0,N304*100/M304,0)</f>
        <v>0</v>
      </c>
    </row>
    <row r="305" spans="1:16" ht="18.75" hidden="1" x14ac:dyDescent="0.25">
      <c r="A305" s="136"/>
      <c r="B305" s="41"/>
      <c r="C305" s="41"/>
      <c r="D305" s="41"/>
      <c r="E305" s="254" t="s">
        <v>19</v>
      </c>
      <c r="F305" s="41"/>
      <c r="G305" s="43"/>
      <c r="H305" s="142" t="s">
        <v>12</v>
      </c>
      <c r="I305" s="45"/>
      <c r="J305" s="45"/>
      <c r="K305" s="46"/>
      <c r="L305" s="47">
        <f ca="1">L308+L311</f>
        <v>0</v>
      </c>
      <c r="M305" s="47">
        <f ca="1">M308+M311</f>
        <v>0</v>
      </c>
      <c r="N305" s="47">
        <f ca="1">N308+N311</f>
        <v>0</v>
      </c>
      <c r="O305" s="47">
        <f ca="1">IF(L305&gt;0,N305*100/L305,0)</f>
        <v>0</v>
      </c>
      <c r="P305" s="47">
        <f ca="1">IF(M305&gt;0,N305*100/M305,0)</f>
        <v>0</v>
      </c>
    </row>
    <row r="306" spans="1:16" ht="18.75" hidden="1" x14ac:dyDescent="0.25">
      <c r="A306" s="136"/>
      <c r="B306" s="41"/>
      <c r="C306" s="41"/>
      <c r="D306" s="42" t="s">
        <v>20</v>
      </c>
      <c r="E306" s="41"/>
      <c r="F306" s="41"/>
      <c r="G306" s="43"/>
      <c r="H306" s="143" t="s">
        <v>12</v>
      </c>
      <c r="I306" s="144"/>
      <c r="J306" s="144"/>
      <c r="K306" s="145"/>
      <c r="L306" s="47">
        <f ca="1">L307+L308</f>
        <v>0</v>
      </c>
      <c r="M306" s="47">
        <f ca="1">M307+M308</f>
        <v>0</v>
      </c>
      <c r="N306" s="47">
        <f ca="1">N307+N308</f>
        <v>0</v>
      </c>
      <c r="O306" s="47">
        <f ca="1">IF(L306&gt;0,N306*100/L306,0)</f>
        <v>0</v>
      </c>
      <c r="P306" s="47">
        <f ca="1">IF(M306&gt;0,N306*100/M306,0)</f>
        <v>0</v>
      </c>
    </row>
    <row r="307" spans="1:16" ht="18.75" hidden="1" x14ac:dyDescent="0.25">
      <c r="A307" s="136"/>
      <c r="B307" s="41"/>
      <c r="C307" s="41"/>
      <c r="D307" s="41"/>
      <c r="E307" s="279" t="s">
        <v>34</v>
      </c>
      <c r="F307" s="41"/>
      <c r="G307" s="43"/>
      <c r="H307" s="146" t="s">
        <v>12</v>
      </c>
      <c r="I307" s="144"/>
      <c r="J307" s="144"/>
      <c r="K307" s="145"/>
      <c r="L307" s="50">
        <v>0</v>
      </c>
      <c r="M307" s="50">
        <v>0</v>
      </c>
      <c r="N307" s="50">
        <v>0</v>
      </c>
      <c r="O307" s="50">
        <f>IF(L307&gt;0,N307*100/L307,0)</f>
        <v>0</v>
      </c>
      <c r="P307" s="50">
        <f>IF(M307&gt;0,N307*100/M307,0)</f>
        <v>0</v>
      </c>
    </row>
    <row r="308" spans="1:16" ht="18.75" hidden="1" x14ac:dyDescent="0.25">
      <c r="A308" s="136"/>
      <c r="B308" s="41"/>
      <c r="C308" s="41"/>
      <c r="D308" s="41"/>
      <c r="E308" s="254" t="s">
        <v>35</v>
      </c>
      <c r="F308" s="41"/>
      <c r="G308" s="43"/>
      <c r="H308" s="143" t="s">
        <v>12</v>
      </c>
      <c r="I308" s="144"/>
      <c r="J308" s="144"/>
      <c r="K308" s="145"/>
      <c r="L308" s="47">
        <f ca="1">IFERROR(__xludf.DUMMYFUNCTION("IMPORTRANGE(""https://docs.google.com/spreadsheets/d/1-uDff_7J0KD5mKrp0Vvzr7lt3OU09vwQwhkpOPPYv2Y/edit?usp=sharing"",""งบพรบ!DY19"")"),0)</f>
        <v>0</v>
      </c>
      <c r="M308" s="47">
        <f ca="1">IFERROR(__xludf.DUMMYFUNCTION("IMPORTRANGE(""https://docs.google.com/spreadsheets/d/1-uDff_7J0KD5mKrp0Vvzr7lt3OU09vwQwhkpOPPYv2Y/edit?usp=sharing"",""งบพรบ!ED19"")"),0)</f>
        <v>0</v>
      </c>
      <c r="N308" s="47">
        <f ca="1">IFERROR(__xludf.DUMMYFUNCTION("IMPORTRANGE(""https://docs.google.com/spreadsheets/d/1-uDff_7J0KD5mKrp0Vvzr7lt3OU09vwQwhkpOPPYv2Y/edit?usp=sharing"",""งบพรบ!EF19"")"),0)</f>
        <v>0</v>
      </c>
      <c r="O308" s="47">
        <f ca="1">IF(L308&gt;0,N308*100/L308,0)</f>
        <v>0</v>
      </c>
      <c r="P308" s="47">
        <f ca="1">IF(M308&gt;0,N308*100/M308,0)</f>
        <v>0</v>
      </c>
    </row>
    <row r="309" spans="1:16" ht="18.75" hidden="1" x14ac:dyDescent="0.25">
      <c r="A309" s="136"/>
      <c r="B309" s="41"/>
      <c r="C309" s="41"/>
      <c r="D309" s="42" t="s">
        <v>21</v>
      </c>
      <c r="E309" s="41"/>
      <c r="F309" s="41"/>
      <c r="G309" s="43"/>
      <c r="H309" s="147" t="s">
        <v>12</v>
      </c>
      <c r="I309" s="144"/>
      <c r="J309" s="144"/>
      <c r="K309" s="145"/>
      <c r="L309" s="47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</row>
    <row r="310" spans="1:16" ht="18.75" hidden="1" x14ac:dyDescent="0.25">
      <c r="A310" s="136"/>
      <c r="B310" s="41"/>
      <c r="C310" s="41"/>
      <c r="D310" s="41"/>
      <c r="E310" s="279" t="s">
        <v>18</v>
      </c>
      <c r="F310" s="41"/>
      <c r="G310" s="43"/>
      <c r="H310" s="146" t="s">
        <v>12</v>
      </c>
      <c r="I310" s="144"/>
      <c r="J310" s="144"/>
      <c r="K310" s="145"/>
      <c r="L310" s="50">
        <v>0</v>
      </c>
      <c r="M310" s="50">
        <v>0</v>
      </c>
      <c r="N310" s="50">
        <v>0</v>
      </c>
      <c r="O310" s="50">
        <f>IF(L310&gt;0,N310*100/L310,0)</f>
        <v>0</v>
      </c>
      <c r="P310" s="50">
        <f>IF(M310&gt;0,N310*100/M310,0)</f>
        <v>0</v>
      </c>
    </row>
    <row r="311" spans="1:16" ht="18.75" hidden="1" x14ac:dyDescent="0.25">
      <c r="A311" s="136"/>
      <c r="B311" s="41"/>
      <c r="C311" s="41"/>
      <c r="D311" s="41"/>
      <c r="E311" s="254" t="s">
        <v>19</v>
      </c>
      <c r="F311" s="41"/>
      <c r="G311" s="43"/>
      <c r="H311" s="147" t="s">
        <v>12</v>
      </c>
      <c r="I311" s="144"/>
      <c r="J311" s="144"/>
      <c r="K311" s="145"/>
      <c r="L311" s="47">
        <f ca="1">IFERROR(__xludf.DUMMYFUNCTION("IMPORTRANGE(""https://docs.google.com/spreadsheets/d/1-uDff_7J0KD5mKrp0Vvzr7lt3OU09vwQwhkpOPPYv2Y/edit?usp=sharing"",""งบพรบ!EB19"")"),0)</f>
        <v>0</v>
      </c>
      <c r="M311" s="47">
        <f ca="1">IFERROR(__xludf.DUMMYFUNCTION("IMPORTRANGE(""https://docs.google.com/spreadsheets/d/1-uDff_7J0KD5mKrp0Vvzr7lt3OU09vwQwhkpOPPYv2Y/edit?usp=sharing"",""งบพรบ!EE19"")"),0)</f>
        <v>0</v>
      </c>
      <c r="N311" s="47">
        <f ca="1">IFERROR(__xludf.DUMMYFUNCTION("IMPORTRANGE(""https://docs.google.com/spreadsheets/d/1-uDff_7J0KD5mKrp0Vvzr7lt3OU09vwQwhkpOPPYv2Y/edit?usp=sharing"",""งบพรบ!EG19"")"),0)</f>
        <v>0</v>
      </c>
      <c r="O311" s="47">
        <f ca="1">IF(L311&gt;0,N311*100/L311,0)</f>
        <v>0</v>
      </c>
      <c r="P311" s="47">
        <f ca="1">IF(M311&gt;0,N311*100/M311,0)</f>
        <v>0</v>
      </c>
    </row>
    <row r="312" spans="1:16" ht="19.5" hidden="1" x14ac:dyDescent="0.3">
      <c r="A312" s="148"/>
      <c r="B312" s="149"/>
      <c r="C312" s="197" t="s">
        <v>16</v>
      </c>
      <c r="D312" s="395" t="s">
        <v>36</v>
      </c>
      <c r="E312" s="151"/>
      <c r="F312" s="151"/>
      <c r="G312" s="152"/>
      <c r="H312" s="153"/>
      <c r="I312" s="45"/>
      <c r="J312" s="45"/>
      <c r="K312" s="46"/>
      <c r="L312" s="46"/>
      <c r="M312" s="46"/>
      <c r="N312" s="46"/>
      <c r="O312" s="46"/>
      <c r="P312" s="46"/>
    </row>
    <row r="313" spans="1:16" ht="18.75" hidden="1" x14ac:dyDescent="0.25">
      <c r="A313" s="148"/>
      <c r="B313" s="149"/>
      <c r="C313" s="149"/>
      <c r="D313" s="159" t="s">
        <v>122</v>
      </c>
      <c r="E313" s="155"/>
      <c r="F313" s="155"/>
      <c r="G313" s="153"/>
      <c r="H313" s="153"/>
      <c r="I313" s="45"/>
      <c r="J313" s="250">
        <v>0</v>
      </c>
      <c r="K313" s="46"/>
      <c r="L313" s="46"/>
      <c r="M313" s="46"/>
      <c r="N313" s="46"/>
      <c r="O313" s="46"/>
      <c r="P313" s="46"/>
    </row>
    <row r="314" spans="1:16" ht="18.75" hidden="1" x14ac:dyDescent="0.25">
      <c r="A314" s="148"/>
      <c r="B314" s="149"/>
      <c r="C314" s="149"/>
      <c r="D314" s="159" t="s">
        <v>115</v>
      </c>
      <c r="E314" s="155"/>
      <c r="F314" s="155"/>
      <c r="G314" s="153"/>
      <c r="H314" s="251" t="s">
        <v>33</v>
      </c>
      <c r="I314" s="169">
        <f ca="1">IFERROR(__xludf.DUMMYFUNCTION("IMPORTRANGE(""https://docs.google.com/spreadsheets/d/1eHaY18a8A9IcSdp1K8H6x8fbOy06t2VsZHhMHf-1x7Y/edit?usp=sharing"",""แผน!EF19"")"),0)</f>
        <v>0</v>
      </c>
      <c r="J314" s="250">
        <v>0</v>
      </c>
      <c r="K314" s="47">
        <f ca="1">IF(I314&gt;0,J314*100/I314,0)</f>
        <v>0</v>
      </c>
      <c r="L314" s="46"/>
      <c r="M314" s="46"/>
      <c r="N314" s="46"/>
      <c r="O314" s="46"/>
      <c r="P314" s="46"/>
    </row>
    <row r="315" spans="1:16" ht="18.75" hidden="1" x14ac:dyDescent="0.25">
      <c r="A315" s="148"/>
      <c r="B315" s="149"/>
      <c r="C315" s="149"/>
      <c r="D315" s="159" t="s">
        <v>123</v>
      </c>
      <c r="E315" s="155"/>
      <c r="F315" s="155"/>
      <c r="G315" s="153"/>
      <c r="H315" s="251" t="s">
        <v>33</v>
      </c>
      <c r="I315" s="169">
        <f ca="1">IFERROR(__xludf.DUMMYFUNCTION("IMPORTRANGE(""https://docs.google.com/spreadsheets/d/1eHaY18a8A9IcSdp1K8H6x8fbOy06t2VsZHhMHf-1x7Y/edit?usp=sharing"",""แผน!EG19"")"),0)</f>
        <v>0</v>
      </c>
      <c r="J315" s="250">
        <v>0</v>
      </c>
      <c r="K315" s="47">
        <f ca="1">IF(I315&gt;0,J315*100/I315,0)</f>
        <v>0</v>
      </c>
      <c r="L315" s="46"/>
      <c r="M315" s="46"/>
      <c r="N315" s="46"/>
      <c r="O315" s="46"/>
      <c r="P315" s="46"/>
    </row>
    <row r="316" spans="1:16" ht="18.75" hidden="1" x14ac:dyDescent="0.25">
      <c r="A316" s="148"/>
      <c r="B316" s="149"/>
      <c r="C316" s="149"/>
      <c r="D316" s="159" t="s">
        <v>48</v>
      </c>
      <c r="E316" s="155"/>
      <c r="F316" s="155"/>
      <c r="G316" s="153"/>
      <c r="H316" s="251" t="s">
        <v>33</v>
      </c>
      <c r="I316" s="169">
        <f ca="1">IFERROR(__xludf.DUMMYFUNCTION("IMPORTRANGE(""https://docs.google.com/spreadsheets/d/1eHaY18a8A9IcSdp1K8H6x8fbOy06t2VsZHhMHf-1x7Y/edit?usp=sharing"",""แผน!EH19"")"),0)</f>
        <v>0</v>
      </c>
      <c r="J316" s="250">
        <v>0</v>
      </c>
      <c r="K316" s="47">
        <f ca="1">IF(I316&gt;0,J316*100/I316,0)</f>
        <v>0</v>
      </c>
      <c r="L316" s="46"/>
      <c r="M316" s="46"/>
      <c r="N316" s="46"/>
      <c r="O316" s="46"/>
      <c r="P316" s="46"/>
    </row>
    <row r="317" spans="1:16" ht="18.75" hidden="1" x14ac:dyDescent="0.25">
      <c r="A317" s="227"/>
      <c r="B317" s="228"/>
      <c r="C317" s="228"/>
      <c r="D317" s="279" t="s">
        <v>124</v>
      </c>
      <c r="E317" s="41"/>
      <c r="F317" s="41"/>
      <c r="G317" s="43"/>
      <c r="H317" s="49" t="s">
        <v>33</v>
      </c>
      <c r="I317" s="200">
        <f ca="1">IFERROR(__xludf.DUMMYFUNCTION("IMPORTRANGE(""https://docs.google.com/spreadsheets/d/1eHaY18a8A9IcSdp1K8H6x8fbOy06t2VsZHhMHf-1x7Y/edit?usp=sharing"",""แผน!EI19"")"),0)</f>
        <v>0</v>
      </c>
      <c r="J317" s="200">
        <v>0</v>
      </c>
      <c r="K317" s="50">
        <f ca="1">IF(I317&gt;0,J317*100/I317,0)</f>
        <v>0</v>
      </c>
      <c r="L317" s="46"/>
      <c r="M317" s="46"/>
      <c r="N317" s="46"/>
      <c r="O317" s="46"/>
      <c r="P317" s="46"/>
    </row>
    <row r="318" spans="1:16" ht="19.5" hidden="1" x14ac:dyDescent="0.3">
      <c r="A318" s="317" t="s">
        <v>125</v>
      </c>
      <c r="B318" s="318"/>
      <c r="C318" s="318"/>
      <c r="D318" s="319"/>
      <c r="E318" s="318"/>
      <c r="F318" s="318"/>
      <c r="G318" s="318"/>
      <c r="H318" s="319"/>
      <c r="I318" s="321"/>
      <c r="J318" s="321"/>
      <c r="K318" s="322"/>
      <c r="L318" s="322"/>
      <c r="M318" s="322"/>
      <c r="N318" s="322"/>
      <c r="O318" s="322"/>
      <c r="P318" s="322"/>
    </row>
    <row r="319" spans="1:16" ht="19.5" hidden="1" x14ac:dyDescent="0.3">
      <c r="A319" s="331"/>
      <c r="B319" s="324" t="s">
        <v>126</v>
      </c>
      <c r="C319" s="332"/>
      <c r="D319" s="333"/>
      <c r="E319" s="325"/>
      <c r="F319" s="325"/>
      <c r="G319" s="326"/>
      <c r="H319" s="327" t="s">
        <v>127</v>
      </c>
      <c r="I319" s="328">
        <f ca="1">I330</f>
        <v>0</v>
      </c>
      <c r="J319" s="328">
        <f>J330</f>
        <v>0</v>
      </c>
      <c r="K319" s="329">
        <f ca="1">IF(I319&gt;0,J319*100/I319,0)</f>
        <v>0</v>
      </c>
      <c r="L319" s="330"/>
      <c r="M319" s="330"/>
      <c r="N319" s="330"/>
      <c r="O319" s="330"/>
      <c r="P319" s="330"/>
    </row>
    <row r="320" spans="1:16" ht="19.5" hidden="1" x14ac:dyDescent="0.3">
      <c r="A320" s="136"/>
      <c r="B320" s="41"/>
      <c r="C320" s="197" t="s">
        <v>16</v>
      </c>
      <c r="D320" s="397" t="s">
        <v>17</v>
      </c>
      <c r="E320" s="41"/>
      <c r="F320" s="41"/>
      <c r="G320" s="43"/>
      <c r="H320" s="139" t="s">
        <v>12</v>
      </c>
      <c r="I320" s="45"/>
      <c r="J320" s="45"/>
      <c r="K320" s="46"/>
      <c r="L320" s="140">
        <f ca="1">L321+L322</f>
        <v>0</v>
      </c>
      <c r="M320" s="140">
        <f ca="1">M321+M322</f>
        <v>0</v>
      </c>
      <c r="N320" s="140">
        <f ca="1">N321+N322</f>
        <v>0</v>
      </c>
      <c r="O320" s="140">
        <f ca="1">IF(L320&gt;0,N320*100/L320,0)</f>
        <v>0</v>
      </c>
      <c r="P320" s="140">
        <f ca="1">IF(M320&gt;0,N320*100/M320,0)</f>
        <v>0</v>
      </c>
    </row>
    <row r="321" spans="1:16" ht="18.75" hidden="1" x14ac:dyDescent="0.25">
      <c r="A321" s="136"/>
      <c r="B321" s="41"/>
      <c r="C321" s="41"/>
      <c r="D321" s="41"/>
      <c r="E321" s="279" t="s">
        <v>18</v>
      </c>
      <c r="F321" s="41"/>
      <c r="G321" s="43"/>
      <c r="H321" s="141" t="s">
        <v>12</v>
      </c>
      <c r="I321" s="45"/>
      <c r="J321" s="45"/>
      <c r="K321" s="46"/>
      <c r="L321" s="50">
        <f>L324+L327</f>
        <v>0</v>
      </c>
      <c r="M321" s="50">
        <f>M324+M327</f>
        <v>0</v>
      </c>
      <c r="N321" s="50">
        <f>N324+N327</f>
        <v>0</v>
      </c>
      <c r="O321" s="50">
        <f>IF(L321&gt;0,N321*100/L321,0)</f>
        <v>0</v>
      </c>
      <c r="P321" s="50">
        <f>IF(M321&gt;0,N321*100/M321,0)</f>
        <v>0</v>
      </c>
    </row>
    <row r="322" spans="1:16" ht="18.75" hidden="1" x14ac:dyDescent="0.25">
      <c r="A322" s="136"/>
      <c r="B322" s="41"/>
      <c r="C322" s="41"/>
      <c r="D322" s="41"/>
      <c r="E322" s="254" t="s">
        <v>19</v>
      </c>
      <c r="F322" s="41"/>
      <c r="G322" s="43"/>
      <c r="H322" s="142" t="s">
        <v>12</v>
      </c>
      <c r="I322" s="45"/>
      <c r="J322" s="45"/>
      <c r="K322" s="46"/>
      <c r="L322" s="47">
        <f ca="1">L325+L328</f>
        <v>0</v>
      </c>
      <c r="M322" s="47">
        <f ca="1">M325+M328</f>
        <v>0</v>
      </c>
      <c r="N322" s="47">
        <f ca="1">N325+N328</f>
        <v>0</v>
      </c>
      <c r="O322" s="47">
        <f ca="1">IF(L322&gt;0,N322*100/L322,0)</f>
        <v>0</v>
      </c>
      <c r="P322" s="47">
        <f ca="1">IF(M322&gt;0,N322*100/M322,0)</f>
        <v>0</v>
      </c>
    </row>
    <row r="323" spans="1:16" ht="18.75" hidden="1" x14ac:dyDescent="0.25">
      <c r="A323" s="136"/>
      <c r="B323" s="41"/>
      <c r="C323" s="41"/>
      <c r="D323" s="42" t="s">
        <v>20</v>
      </c>
      <c r="E323" s="41"/>
      <c r="F323" s="41"/>
      <c r="G323" s="43"/>
      <c r="H323" s="143" t="s">
        <v>12</v>
      </c>
      <c r="I323" s="144"/>
      <c r="J323" s="144"/>
      <c r="K323" s="145"/>
      <c r="L323" s="47">
        <f ca="1">L324+L325</f>
        <v>0</v>
      </c>
      <c r="M323" s="47">
        <f ca="1">M324+M325</f>
        <v>0</v>
      </c>
      <c r="N323" s="47">
        <f ca="1">N324+N325</f>
        <v>0</v>
      </c>
      <c r="O323" s="47">
        <f ca="1">IF(L323&gt;0,N323*100/L323,0)</f>
        <v>0</v>
      </c>
      <c r="P323" s="47">
        <f ca="1">IF(M323&gt;0,N323*100/M323,0)</f>
        <v>0</v>
      </c>
    </row>
    <row r="324" spans="1:16" ht="18.75" hidden="1" x14ac:dyDescent="0.25">
      <c r="A324" s="136"/>
      <c r="B324" s="41"/>
      <c r="C324" s="41"/>
      <c r="D324" s="41"/>
      <c r="E324" s="279" t="s">
        <v>34</v>
      </c>
      <c r="F324" s="41"/>
      <c r="G324" s="43"/>
      <c r="H324" s="146" t="s">
        <v>12</v>
      </c>
      <c r="I324" s="144"/>
      <c r="J324" s="144"/>
      <c r="K324" s="145"/>
      <c r="L324" s="50">
        <v>0</v>
      </c>
      <c r="M324" s="50">
        <v>0</v>
      </c>
      <c r="N324" s="50">
        <v>0</v>
      </c>
      <c r="O324" s="50">
        <f>IF(L324&gt;0,N324*100/L324,0)</f>
        <v>0</v>
      </c>
      <c r="P324" s="50">
        <f>IF(M324&gt;0,N324*100/M324,0)</f>
        <v>0</v>
      </c>
    </row>
    <row r="325" spans="1:16" ht="18.75" hidden="1" x14ac:dyDescent="0.25">
      <c r="A325" s="136"/>
      <c r="B325" s="41"/>
      <c r="C325" s="41"/>
      <c r="D325" s="41"/>
      <c r="E325" s="254" t="s">
        <v>35</v>
      </c>
      <c r="F325" s="41"/>
      <c r="G325" s="43"/>
      <c r="H325" s="143" t="s">
        <v>12</v>
      </c>
      <c r="I325" s="144"/>
      <c r="J325" s="144"/>
      <c r="K325" s="145"/>
      <c r="L325" s="47">
        <f ca="1">IFERROR(__xludf.DUMMYFUNCTION("IMPORTRANGE(""https://docs.google.com/spreadsheets/d/1-uDff_7J0KD5mKrp0Vvzr7lt3OU09vwQwhkpOPPYv2Y/edit?usp=sharing"",""งบพรบ!EI19"")"),0)</f>
        <v>0</v>
      </c>
      <c r="M325" s="47">
        <f ca="1">IFERROR(__xludf.DUMMYFUNCTION("IMPORTRANGE(""https://docs.google.com/spreadsheets/d/1-uDff_7J0KD5mKrp0Vvzr7lt3OU09vwQwhkpOPPYv2Y/edit?usp=sharing"",""งบพรบ!EN19"")"),0)</f>
        <v>0</v>
      </c>
      <c r="N325" s="47">
        <f ca="1">IFERROR(__xludf.DUMMYFUNCTION("IMPORTRANGE(""https://docs.google.com/spreadsheets/d/1-uDff_7J0KD5mKrp0Vvzr7lt3OU09vwQwhkpOPPYv2Y/edit?usp=sharing"",""งบพรบ!EP19"")"),0)</f>
        <v>0</v>
      </c>
      <c r="O325" s="47">
        <f ca="1">IF(L325&gt;0,N325*100/L325,0)</f>
        <v>0</v>
      </c>
      <c r="P325" s="47">
        <f ca="1">IF(M325&gt;0,N325*100/M325,0)</f>
        <v>0</v>
      </c>
    </row>
    <row r="326" spans="1:16" ht="18.75" hidden="1" x14ac:dyDescent="0.25">
      <c r="A326" s="136"/>
      <c r="B326" s="41"/>
      <c r="C326" s="41"/>
      <c r="D326" s="42" t="s">
        <v>21</v>
      </c>
      <c r="E326" s="41"/>
      <c r="F326" s="41"/>
      <c r="G326" s="43"/>
      <c r="H326" s="147" t="s">
        <v>12</v>
      </c>
      <c r="I326" s="144"/>
      <c r="J326" s="144"/>
      <c r="K326" s="145"/>
      <c r="L326" s="47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</row>
    <row r="327" spans="1:16" ht="18.75" hidden="1" x14ac:dyDescent="0.25">
      <c r="A327" s="136"/>
      <c r="B327" s="41"/>
      <c r="C327" s="41"/>
      <c r="D327" s="41"/>
      <c r="E327" s="279" t="s">
        <v>18</v>
      </c>
      <c r="F327" s="41"/>
      <c r="G327" s="43"/>
      <c r="H327" s="146" t="s">
        <v>12</v>
      </c>
      <c r="I327" s="144"/>
      <c r="J327" s="144"/>
      <c r="K327" s="145"/>
      <c r="L327" s="50">
        <v>0</v>
      </c>
      <c r="M327" s="50">
        <v>0</v>
      </c>
      <c r="N327" s="50">
        <v>0</v>
      </c>
      <c r="O327" s="50">
        <f>IF(L327&gt;0,N327*100/L327,0)</f>
        <v>0</v>
      </c>
      <c r="P327" s="50">
        <f>IF(M327&gt;0,N327*100/M327,0)</f>
        <v>0</v>
      </c>
    </row>
    <row r="328" spans="1:16" ht="18.75" hidden="1" x14ac:dyDescent="0.25">
      <c r="A328" s="136"/>
      <c r="B328" s="41"/>
      <c r="C328" s="41"/>
      <c r="D328" s="41"/>
      <c r="E328" s="254" t="s">
        <v>19</v>
      </c>
      <c r="F328" s="41"/>
      <c r="G328" s="43"/>
      <c r="H328" s="147" t="s">
        <v>12</v>
      </c>
      <c r="I328" s="144"/>
      <c r="J328" s="144"/>
      <c r="K328" s="145"/>
      <c r="L328" s="47">
        <f ca="1">IFERROR(__xludf.DUMMYFUNCTION("IMPORTRANGE(""https://docs.google.com/spreadsheets/d/1-uDff_7J0KD5mKrp0Vvzr7lt3OU09vwQwhkpOPPYv2Y/edit?usp=sharing"",""งบพรบ!EL19"")"),0)</f>
        <v>0</v>
      </c>
      <c r="M328" s="47">
        <f ca="1">IFERROR(__xludf.DUMMYFUNCTION("IMPORTRANGE(""https://docs.google.com/spreadsheets/d/1-uDff_7J0KD5mKrp0Vvzr7lt3OU09vwQwhkpOPPYv2Y/edit?usp=sharing"",""งบพรบ!EO19"")"),0)</f>
        <v>0</v>
      </c>
      <c r="N328" s="47">
        <f ca="1">IFERROR(__xludf.DUMMYFUNCTION("IMPORTRANGE(""https://docs.google.com/spreadsheets/d/1-uDff_7J0KD5mKrp0Vvzr7lt3OU09vwQwhkpOPPYv2Y/edit?usp=sharing"",""งบพรบ!EQ19"")"),0)</f>
        <v>0</v>
      </c>
      <c r="O328" s="47">
        <f ca="1">IF(L328&gt;0,N328*100/L328,0)</f>
        <v>0</v>
      </c>
      <c r="P328" s="47">
        <f ca="1">IF(M328&gt;0,N328*100/M328,0)</f>
        <v>0</v>
      </c>
    </row>
    <row r="329" spans="1:16" ht="19.5" hidden="1" x14ac:dyDescent="0.3">
      <c r="A329" s="148"/>
      <c r="B329" s="149"/>
      <c r="C329" s="197" t="s">
        <v>16</v>
      </c>
      <c r="D329" s="395" t="s">
        <v>36</v>
      </c>
      <c r="E329" s="151"/>
      <c r="F329" s="151"/>
      <c r="G329" s="152"/>
      <c r="H329" s="153"/>
      <c r="I329" s="144"/>
      <c r="J329" s="45"/>
      <c r="K329" s="46"/>
      <c r="L329" s="46"/>
      <c r="M329" s="46"/>
      <c r="N329" s="46"/>
      <c r="O329" s="145"/>
      <c r="P329" s="145"/>
    </row>
    <row r="330" spans="1:16" ht="18.75" hidden="1" x14ac:dyDescent="0.25">
      <c r="A330" s="148"/>
      <c r="B330" s="149"/>
      <c r="C330" s="149"/>
      <c r="D330" s="154" t="s">
        <v>128</v>
      </c>
      <c r="E330" s="155"/>
      <c r="F330" s="155"/>
      <c r="G330" s="153"/>
      <c r="H330" s="44" t="s">
        <v>127</v>
      </c>
      <c r="I330" s="169">
        <f ca="1">IFERROR(__xludf.DUMMYFUNCTION("IMPORTRANGE(""https://docs.google.com/spreadsheets/d/1eHaY18a8A9IcSdp1K8H6x8fbOy06t2VsZHhMHf-1x7Y/edit?usp=sharing"",""แผน!EJ19"")"),0)</f>
        <v>0</v>
      </c>
      <c r="J330" s="250">
        <v>0</v>
      </c>
      <c r="K330" s="47">
        <f ca="1">IF(I330&gt;0,J330*100/I330,0)</f>
        <v>0</v>
      </c>
      <c r="L330" s="46"/>
      <c r="M330" s="46"/>
      <c r="N330" s="46"/>
      <c r="O330" s="145"/>
      <c r="P330" s="145"/>
    </row>
    <row r="331" spans="1:16" ht="19.5" x14ac:dyDescent="0.3">
      <c r="A331" s="317" t="s">
        <v>129</v>
      </c>
      <c r="B331" s="318"/>
      <c r="C331" s="318"/>
      <c r="D331" s="319"/>
      <c r="E331" s="318"/>
      <c r="F331" s="318"/>
      <c r="G331" s="318"/>
      <c r="H331" s="319"/>
      <c r="I331" s="321"/>
      <c r="J331" s="321"/>
      <c r="K331" s="322"/>
      <c r="L331" s="322"/>
      <c r="M331" s="322"/>
      <c r="N331" s="322"/>
      <c r="O331" s="322"/>
      <c r="P331" s="322"/>
    </row>
    <row r="332" spans="1:16" ht="19.5" x14ac:dyDescent="0.3">
      <c r="A332" s="323"/>
      <c r="B332" s="324" t="s">
        <v>130</v>
      </c>
      <c r="C332" s="333"/>
      <c r="D332" s="325"/>
      <c r="E332" s="325"/>
      <c r="F332" s="325"/>
      <c r="G332" s="326"/>
      <c r="H332" s="327" t="s">
        <v>33</v>
      </c>
      <c r="I332" s="334">
        <f ca="1">I344</f>
        <v>1060</v>
      </c>
      <c r="J332" s="335">
        <f ca="1">J344+J347+J348+J349+J353</f>
        <v>730</v>
      </c>
      <c r="K332" s="336">
        <f ca="1">IF(I332&gt;0,J332*100/I332,0)</f>
        <v>68.867924528301884</v>
      </c>
      <c r="L332" s="330"/>
      <c r="M332" s="330"/>
      <c r="N332" s="330"/>
      <c r="O332" s="330"/>
      <c r="P332" s="330"/>
    </row>
    <row r="333" spans="1:16" ht="19.5" x14ac:dyDescent="0.3">
      <c r="A333" s="136"/>
      <c r="B333" s="41"/>
      <c r="C333" s="197" t="s">
        <v>16</v>
      </c>
      <c r="D333" s="397" t="s">
        <v>17</v>
      </c>
      <c r="E333" s="41"/>
      <c r="F333" s="41"/>
      <c r="G333" s="43"/>
      <c r="H333" s="139" t="s">
        <v>12</v>
      </c>
      <c r="I333" s="45"/>
      <c r="J333" s="45"/>
      <c r="K333" s="46"/>
      <c r="L333" s="140">
        <f ca="1">L334+L335</f>
        <v>110000</v>
      </c>
      <c r="M333" s="140">
        <f ca="1">M334+M335</f>
        <v>85750</v>
      </c>
      <c r="N333" s="140">
        <f ca="1">N334+N335</f>
        <v>12000</v>
      </c>
      <c r="O333" s="140">
        <f ca="1">IF(L333&gt;0,N333*100/L333,0)</f>
        <v>10.909090909090908</v>
      </c>
      <c r="P333" s="140">
        <f ca="1">IF(M333&gt;0,N333*100/M333,0)</f>
        <v>13.994169096209912</v>
      </c>
    </row>
    <row r="334" spans="1:16" ht="18.75" hidden="1" x14ac:dyDescent="0.25">
      <c r="A334" s="136"/>
      <c r="B334" s="41"/>
      <c r="C334" s="41"/>
      <c r="D334" s="41"/>
      <c r="E334" s="279" t="s">
        <v>18</v>
      </c>
      <c r="F334" s="41"/>
      <c r="G334" s="43"/>
      <c r="H334" s="141" t="s">
        <v>12</v>
      </c>
      <c r="I334" s="45"/>
      <c r="J334" s="45"/>
      <c r="K334" s="46"/>
      <c r="L334" s="50">
        <f>L337+L340</f>
        <v>0</v>
      </c>
      <c r="M334" s="50">
        <f>M337+M340</f>
        <v>0</v>
      </c>
      <c r="N334" s="50">
        <f>N337+N340</f>
        <v>0</v>
      </c>
      <c r="O334" s="50">
        <f>IF(L334&gt;0,N334*100/L334,0)</f>
        <v>0</v>
      </c>
      <c r="P334" s="50">
        <f>IF(M334&gt;0,N334*100/M334,0)</f>
        <v>0</v>
      </c>
    </row>
    <row r="335" spans="1:16" ht="18.75" x14ac:dyDescent="0.25">
      <c r="A335" s="136"/>
      <c r="B335" s="41"/>
      <c r="C335" s="41"/>
      <c r="D335" s="41"/>
      <c r="E335" s="254" t="s">
        <v>19</v>
      </c>
      <c r="F335" s="41"/>
      <c r="G335" s="43"/>
      <c r="H335" s="142" t="s">
        <v>12</v>
      </c>
      <c r="I335" s="45"/>
      <c r="J335" s="45"/>
      <c r="K335" s="46"/>
      <c r="L335" s="47">
        <f ca="1">L338+L341</f>
        <v>110000</v>
      </c>
      <c r="M335" s="47">
        <f ca="1">M338+M341</f>
        <v>85750</v>
      </c>
      <c r="N335" s="47">
        <f ca="1">N338+N341</f>
        <v>12000</v>
      </c>
      <c r="O335" s="47">
        <f ca="1">IF(L335&gt;0,N335*100/L335,0)</f>
        <v>10.909090909090908</v>
      </c>
      <c r="P335" s="47">
        <f ca="1">IF(M335&gt;0,N335*100/M335,0)</f>
        <v>13.994169096209912</v>
      </c>
    </row>
    <row r="336" spans="1:16" ht="18.75" x14ac:dyDescent="0.25">
      <c r="A336" s="136"/>
      <c r="B336" s="41"/>
      <c r="C336" s="41"/>
      <c r="D336" s="42" t="s">
        <v>20</v>
      </c>
      <c r="E336" s="41"/>
      <c r="F336" s="41"/>
      <c r="G336" s="43"/>
      <c r="H336" s="143" t="s">
        <v>12</v>
      </c>
      <c r="I336" s="144"/>
      <c r="J336" s="144"/>
      <c r="K336" s="145"/>
      <c r="L336" s="47">
        <f ca="1">L337+L338</f>
        <v>110000</v>
      </c>
      <c r="M336" s="47">
        <f ca="1">M337+M338</f>
        <v>85750</v>
      </c>
      <c r="N336" s="47">
        <f ca="1">N337+N338</f>
        <v>12000</v>
      </c>
      <c r="O336" s="47">
        <f ca="1">IF(L336&gt;0,N336*100/L336,0)</f>
        <v>10.909090909090908</v>
      </c>
      <c r="P336" s="47">
        <f ca="1">IF(M336&gt;0,N336*100/M336,0)</f>
        <v>13.994169096209912</v>
      </c>
    </row>
    <row r="337" spans="1:16" ht="18.75" hidden="1" x14ac:dyDescent="0.25">
      <c r="A337" s="136"/>
      <c r="B337" s="41"/>
      <c r="C337" s="41"/>
      <c r="D337" s="41"/>
      <c r="E337" s="279" t="s">
        <v>34</v>
      </c>
      <c r="F337" s="41"/>
      <c r="G337" s="43"/>
      <c r="H337" s="146" t="s">
        <v>12</v>
      </c>
      <c r="I337" s="144"/>
      <c r="J337" s="144"/>
      <c r="K337" s="145"/>
      <c r="L337" s="50">
        <v>0</v>
      </c>
      <c r="M337" s="50">
        <v>0</v>
      </c>
      <c r="N337" s="50">
        <v>0</v>
      </c>
      <c r="O337" s="50">
        <f>IF(L337&gt;0,N337*100/L337,0)</f>
        <v>0</v>
      </c>
      <c r="P337" s="50">
        <f>IF(M337&gt;0,N337*100/M337,0)</f>
        <v>0</v>
      </c>
    </row>
    <row r="338" spans="1:16" ht="18.75" x14ac:dyDescent="0.25">
      <c r="A338" s="136"/>
      <c r="B338" s="41"/>
      <c r="C338" s="41"/>
      <c r="D338" s="41"/>
      <c r="E338" s="254" t="s">
        <v>35</v>
      </c>
      <c r="F338" s="41"/>
      <c r="G338" s="43"/>
      <c r="H338" s="143" t="s">
        <v>12</v>
      </c>
      <c r="I338" s="144"/>
      <c r="J338" s="144"/>
      <c r="K338" s="145"/>
      <c r="L338" s="47">
        <f ca="1">IFERROR(__xludf.DUMMYFUNCTION("IMPORTRANGE(""https://docs.google.com/spreadsheets/d/1-uDff_7J0KD5mKrp0Vvzr7lt3OU09vwQwhkpOPPYv2Y/edit?usp=sharing"",""งบพรบ!ES19"")"),110000)</f>
        <v>110000</v>
      </c>
      <c r="M338" s="47">
        <f ca="1">IFERROR(__xludf.DUMMYFUNCTION("IMPORTRANGE(""https://docs.google.com/spreadsheets/d/1-uDff_7J0KD5mKrp0Vvzr7lt3OU09vwQwhkpOPPYv2Y/edit?usp=sharing"",""งบพรบ!EX19"")"),85750)</f>
        <v>85750</v>
      </c>
      <c r="N338" s="47">
        <f ca="1">IFERROR(__xludf.DUMMYFUNCTION("IMPORTRANGE(""https://docs.google.com/spreadsheets/d/1-uDff_7J0KD5mKrp0Vvzr7lt3OU09vwQwhkpOPPYv2Y/edit?usp=sharing"",""งบพรบ!EZ19"")"),12000)</f>
        <v>12000</v>
      </c>
      <c r="O338" s="47">
        <f ca="1">IF(L338&gt;0,N338*100/L338,0)</f>
        <v>10.909090909090908</v>
      </c>
      <c r="P338" s="47">
        <f ca="1">IF(M338&gt;0,N338*100/M338,0)</f>
        <v>13.994169096209912</v>
      </c>
    </row>
    <row r="339" spans="1:16" ht="18.75" x14ac:dyDescent="0.25">
      <c r="A339" s="136"/>
      <c r="B339" s="41"/>
      <c r="C339" s="41"/>
      <c r="D339" s="42" t="s">
        <v>21</v>
      </c>
      <c r="E339" s="41"/>
      <c r="F339" s="41"/>
      <c r="G339" s="43"/>
      <c r="H339" s="147" t="s">
        <v>12</v>
      </c>
      <c r="I339" s="144"/>
      <c r="J339" s="144"/>
      <c r="K339" s="145"/>
      <c r="L339" s="47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</row>
    <row r="340" spans="1:16" ht="18.75" hidden="1" x14ac:dyDescent="0.25">
      <c r="A340" s="136"/>
      <c r="B340" s="41"/>
      <c r="C340" s="41"/>
      <c r="D340" s="41"/>
      <c r="E340" s="279" t="s">
        <v>18</v>
      </c>
      <c r="F340" s="41"/>
      <c r="G340" s="43"/>
      <c r="H340" s="146" t="s">
        <v>12</v>
      </c>
      <c r="I340" s="144"/>
      <c r="J340" s="144"/>
      <c r="K340" s="145"/>
      <c r="L340" s="50">
        <v>0</v>
      </c>
      <c r="M340" s="50">
        <v>0</v>
      </c>
      <c r="N340" s="50">
        <v>0</v>
      </c>
      <c r="O340" s="50">
        <f>IF(L340&gt;0,N340*100/L340,0)</f>
        <v>0</v>
      </c>
      <c r="P340" s="50">
        <f>IF(M340&gt;0,N340*100/M340,0)</f>
        <v>0</v>
      </c>
    </row>
    <row r="341" spans="1:16" ht="18.75" x14ac:dyDescent="0.25">
      <c r="A341" s="136"/>
      <c r="B341" s="41"/>
      <c r="C341" s="41"/>
      <c r="D341" s="41"/>
      <c r="E341" s="254" t="s">
        <v>19</v>
      </c>
      <c r="F341" s="41"/>
      <c r="G341" s="43"/>
      <c r="H341" s="147" t="s">
        <v>12</v>
      </c>
      <c r="I341" s="144"/>
      <c r="J341" s="144"/>
      <c r="K341" s="145"/>
      <c r="L341" s="47">
        <f ca="1">IFERROR(__xludf.DUMMYFUNCTION("IMPORTRANGE(""https://docs.google.com/spreadsheets/d/1-uDff_7J0KD5mKrp0Vvzr7lt3OU09vwQwhkpOPPYv2Y/edit?usp=sharing"",""งบพรบ!EV19"")"),0)</f>
        <v>0</v>
      </c>
      <c r="M341" s="47">
        <f ca="1">IFERROR(__xludf.DUMMYFUNCTION("IMPORTRANGE(""https://docs.google.com/spreadsheets/d/1-uDff_7J0KD5mKrp0Vvzr7lt3OU09vwQwhkpOPPYv2Y/edit?usp=sharing"",""งบพรบ!EY19"")"),0)</f>
        <v>0</v>
      </c>
      <c r="N341" s="47">
        <f ca="1">IFERROR(__xludf.DUMMYFUNCTION("IMPORTRANGE(""https://docs.google.com/spreadsheets/d/1-uDff_7J0KD5mKrp0Vvzr7lt3OU09vwQwhkpOPPYv2Y/edit?usp=sharing"",""งบพรบ!FA19"")"),0)</f>
        <v>0</v>
      </c>
      <c r="O341" s="47">
        <f ca="1">IF(L341&gt;0,N341*100/L341,0)</f>
        <v>0</v>
      </c>
      <c r="P341" s="47">
        <f ca="1">IF(M341&gt;0,N341*100/M341,0)</f>
        <v>0</v>
      </c>
    </row>
    <row r="342" spans="1:16" ht="19.5" x14ac:dyDescent="0.3">
      <c r="A342" s="148"/>
      <c r="B342" s="149"/>
      <c r="C342" s="197" t="s">
        <v>16</v>
      </c>
      <c r="D342" s="221" t="s">
        <v>36</v>
      </c>
      <c r="E342" s="151"/>
      <c r="F342" s="151"/>
      <c r="G342" s="152"/>
      <c r="H342" s="43"/>
      <c r="I342" s="45"/>
      <c r="J342" s="45"/>
      <c r="K342" s="46"/>
      <c r="L342" s="46"/>
      <c r="M342" s="46"/>
      <c r="N342" s="46"/>
      <c r="O342" s="145"/>
      <c r="P342" s="145"/>
    </row>
    <row r="343" spans="1:16" ht="19.5" x14ac:dyDescent="0.3">
      <c r="A343" s="337"/>
      <c r="B343" s="338"/>
      <c r="C343" s="339"/>
      <c r="D343" s="338"/>
      <c r="E343" s="398" t="s">
        <v>131</v>
      </c>
      <c r="F343" s="338"/>
      <c r="G343" s="341"/>
      <c r="H343" s="342" t="s">
        <v>33</v>
      </c>
      <c r="I343" s="343">
        <v>0</v>
      </c>
      <c r="J343" s="343">
        <f ca="1">J344+J347+J348+J349</f>
        <v>0</v>
      </c>
      <c r="K343" s="344">
        <v>0</v>
      </c>
      <c r="L343" s="345"/>
      <c r="M343" s="345"/>
      <c r="N343" s="345"/>
      <c r="O343" s="345"/>
      <c r="P343" s="345"/>
    </row>
    <row r="344" spans="1:16" ht="18.75" x14ac:dyDescent="0.25">
      <c r="A344" s="227"/>
      <c r="B344" s="41"/>
      <c r="C344" s="228"/>
      <c r="D344" s="155"/>
      <c r="E344" s="159" t="s">
        <v>132</v>
      </c>
      <c r="F344" s="41"/>
      <c r="G344" s="43"/>
      <c r="H344" s="230" t="s">
        <v>33</v>
      </c>
      <c r="I344" s="169">
        <f ca="1">IFERROR(__xludf.DUMMYFUNCTION("IMPORTRANGE(""https://docs.google.com/spreadsheets/d/1eHaY18a8A9IcSdp1K8H6x8fbOy06t2VsZHhMHf-1x7Y/edit?usp=sharing"",""แผน!EK19"")"),1060)</f>
        <v>1060</v>
      </c>
      <c r="J344" s="169">
        <f ca="1">IFERROR(__xludf.DUMMYFUNCTION("IMPORTRANGE(""https://docs.google.com/spreadsheets/d/1awYsYK3VOup2i3Pq_Yjnu8DRu_mYwSBnCR2QPthd0rU/edit?usp=sharing"",""ศูนย์ยกเว้นโฉนด!D19"")"),0)</f>
        <v>0</v>
      </c>
      <c r="K344" s="47">
        <f ca="1">IF(I344&gt;0,J344*100/I344,0)</f>
        <v>0</v>
      </c>
      <c r="L344" s="46"/>
      <c r="M344" s="46"/>
      <c r="N344" s="46"/>
      <c r="O344" s="46"/>
      <c r="P344" s="46"/>
    </row>
    <row r="345" spans="1:16" ht="18.75" x14ac:dyDescent="0.25">
      <c r="A345" s="227"/>
      <c r="B345" s="41"/>
      <c r="C345" s="228"/>
      <c r="D345" s="155"/>
      <c r="E345" s="159" t="s">
        <v>133</v>
      </c>
      <c r="F345" s="41"/>
      <c r="G345" s="43"/>
      <c r="H345" s="346"/>
      <c r="I345" s="45"/>
      <c r="J345" s="45"/>
      <c r="K345" s="46"/>
      <c r="L345" s="46"/>
      <c r="M345" s="46"/>
      <c r="N345" s="46"/>
      <c r="O345" s="46"/>
      <c r="P345" s="46"/>
    </row>
    <row r="346" spans="1:16" ht="18.75" x14ac:dyDescent="0.25">
      <c r="A346" s="227"/>
      <c r="B346" s="41"/>
      <c r="C346" s="228"/>
      <c r="D346" s="155"/>
      <c r="E346" s="155"/>
      <c r="F346" s="159" t="s">
        <v>134</v>
      </c>
      <c r="G346" s="43"/>
      <c r="H346" s="347" t="s">
        <v>135</v>
      </c>
      <c r="I346" s="169">
        <f ca="1">IFERROR(__xludf.DUMMYFUNCTION("IMPORTRANGE(""https://docs.google.com/spreadsheets/d/1eHaY18a8A9IcSdp1K8H6x8fbOy06t2VsZHhMHf-1x7Y/edit?usp=sharing"",""แผน!EL19"")"),5)</f>
        <v>5</v>
      </c>
      <c r="J346" s="169">
        <f ca="1">IFERROR(__xludf.DUMMYFUNCTION("IMPORTRANGE(""https://docs.google.com/spreadsheets/d/1awYsYK3VOup2i3Pq_Yjnu8DRu_mYwSBnCR2QPthd0rU/edit?usp=sharing"",""ศูนย์รวม!E19"")"),0)</f>
        <v>0</v>
      </c>
      <c r="K346" s="47">
        <f ca="1">IF(I346&gt;0,J346*100/I346,0)</f>
        <v>0</v>
      </c>
      <c r="L346" s="46"/>
      <c r="M346" s="46"/>
      <c r="N346" s="46"/>
      <c r="O346" s="46"/>
      <c r="P346" s="46"/>
    </row>
    <row r="347" spans="1:16" ht="18.75" x14ac:dyDescent="0.25">
      <c r="A347" s="227"/>
      <c r="B347" s="41"/>
      <c r="C347" s="228"/>
      <c r="D347" s="155"/>
      <c r="E347" s="155"/>
      <c r="F347" s="159" t="s">
        <v>136</v>
      </c>
      <c r="G347" s="43"/>
      <c r="H347" s="347" t="s">
        <v>33</v>
      </c>
      <c r="I347" s="45"/>
      <c r="J347" s="169">
        <f ca="1">IFERROR(__xludf.DUMMYFUNCTION("IMPORTRANGE(""https://docs.google.com/spreadsheets/d/1awYsYK3VOup2i3Pq_Yjnu8DRu_mYwSBnCR2QPthd0rU/edit?usp=sharing"",""ศูนย์ยกเว้นโฉนด!F19"")"),0)</f>
        <v>0</v>
      </c>
      <c r="K347" s="46"/>
      <c r="L347" s="46"/>
      <c r="M347" s="46"/>
      <c r="N347" s="46"/>
      <c r="O347" s="46"/>
      <c r="P347" s="46"/>
    </row>
    <row r="348" spans="1:16" ht="18.75" x14ac:dyDescent="0.25">
      <c r="A348" s="227"/>
      <c r="B348" s="41"/>
      <c r="C348" s="228"/>
      <c r="D348" s="155"/>
      <c r="E348" s="159" t="s">
        <v>137</v>
      </c>
      <c r="F348" s="155"/>
      <c r="G348" s="43"/>
      <c r="H348" s="347" t="s">
        <v>33</v>
      </c>
      <c r="I348" s="45"/>
      <c r="J348" s="169">
        <f ca="1">IFERROR(__xludf.DUMMYFUNCTION("IMPORTRANGE(""https://docs.google.com/spreadsheets/d/1awYsYK3VOup2i3Pq_Yjnu8DRu_mYwSBnCR2QPthd0rU/edit?usp=sharing"",""ศูนย์ยกเว้นโฉนด!G19"")"),0)</f>
        <v>0</v>
      </c>
      <c r="K348" s="46"/>
      <c r="L348" s="46"/>
      <c r="M348" s="46"/>
      <c r="N348" s="46"/>
      <c r="O348" s="46"/>
      <c r="P348" s="46"/>
    </row>
    <row r="349" spans="1:16" ht="18.75" x14ac:dyDescent="0.25">
      <c r="A349" s="227"/>
      <c r="B349" s="41"/>
      <c r="C349" s="228"/>
      <c r="D349" s="149"/>
      <c r="E349" s="159" t="s">
        <v>138</v>
      </c>
      <c r="F349" s="155"/>
      <c r="G349" s="43"/>
      <c r="H349" s="347" t="s">
        <v>33</v>
      </c>
      <c r="I349" s="45"/>
      <c r="J349" s="169">
        <f ca="1">IFERROR(__xludf.DUMMYFUNCTION("IMPORTRANGE(""https://docs.google.com/spreadsheets/d/1awYsYK3VOup2i3Pq_Yjnu8DRu_mYwSBnCR2QPthd0rU/edit?usp=sharing"",""ศูนย์ยกเว้นโฉนด!H19"")"),0)</f>
        <v>0</v>
      </c>
      <c r="K349" s="46"/>
      <c r="L349" s="46"/>
      <c r="M349" s="46"/>
      <c r="N349" s="46"/>
      <c r="O349" s="46"/>
      <c r="P349" s="46"/>
    </row>
    <row r="350" spans="1:16" ht="16.5" x14ac:dyDescent="0.25">
      <c r="A350" s="228"/>
      <c r="B350" s="41"/>
      <c r="C350" s="228"/>
      <c r="D350" s="34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1"/>
      <c r="F350" s="41"/>
      <c r="G350" s="43"/>
      <c r="H350" s="346"/>
      <c r="I350" s="45"/>
      <c r="J350" s="45"/>
      <c r="K350" s="46"/>
      <c r="L350" s="46"/>
      <c r="M350" s="46"/>
      <c r="N350" s="46"/>
      <c r="O350" s="46"/>
      <c r="P350" s="46"/>
    </row>
    <row r="351" spans="1:16" ht="19.5" x14ac:dyDescent="0.3">
      <c r="A351" s="233"/>
      <c r="B351" s="236"/>
      <c r="C351" s="234"/>
      <c r="D351" s="236"/>
      <c r="E351" s="396" t="s">
        <v>139</v>
      </c>
      <c r="F351" s="236"/>
      <c r="G351" s="237"/>
      <c r="H351" s="238" t="s">
        <v>33</v>
      </c>
      <c r="I351" s="239">
        <v>0</v>
      </c>
      <c r="J351" s="239">
        <f ca="1">J352+J353</f>
        <v>875</v>
      </c>
      <c r="K351" s="240">
        <v>0</v>
      </c>
      <c r="L351" s="241"/>
      <c r="M351" s="241"/>
      <c r="N351" s="241"/>
      <c r="O351" s="241"/>
      <c r="P351" s="241"/>
    </row>
    <row r="352" spans="1:16" ht="18.75" x14ac:dyDescent="0.25">
      <c r="A352" s="228"/>
      <c r="B352" s="41"/>
      <c r="C352" s="228"/>
      <c r="D352" s="155"/>
      <c r="E352" s="159" t="s">
        <v>140</v>
      </c>
      <c r="F352" s="41"/>
      <c r="G352" s="43"/>
      <c r="H352" s="142" t="s">
        <v>33</v>
      </c>
      <c r="I352" s="45"/>
      <c r="J352" s="169">
        <f ca="1">IFERROR(__xludf.DUMMYFUNCTION("IMPORTRANGE(""https://docs.google.com/spreadsheets/d/1awYsYK3VOup2i3Pq_Yjnu8DRu_mYwSBnCR2QPthd0rU/edit?usp=sharing"",""โฉนดM3!G19"")"),145)</f>
        <v>145</v>
      </c>
      <c r="K352" s="46"/>
      <c r="L352" s="46"/>
      <c r="M352" s="46"/>
      <c r="N352" s="46"/>
      <c r="O352" s="46"/>
      <c r="P352" s="46"/>
    </row>
    <row r="353" spans="1:16" ht="18.75" x14ac:dyDescent="0.25">
      <c r="A353" s="228"/>
      <c r="B353" s="41"/>
      <c r="C353" s="228"/>
      <c r="D353" s="155"/>
      <c r="E353" s="159" t="s">
        <v>141</v>
      </c>
      <c r="F353" s="41"/>
      <c r="G353" s="43"/>
      <c r="H353" s="142" t="s">
        <v>33</v>
      </c>
      <c r="I353" s="45"/>
      <c r="J353" s="169">
        <f ca="1">IFERROR(__xludf.DUMMYFUNCTION("IMPORTRANGE(""https://docs.google.com/spreadsheets/d/1awYsYK3VOup2i3Pq_Yjnu8DRu_mYwSBnCR2QPthd0rU/edit?usp=sharing"",""โฉนดM3!H19"")"),730)</f>
        <v>730</v>
      </c>
      <c r="K353" s="46"/>
      <c r="L353" s="46"/>
      <c r="M353" s="46"/>
      <c r="N353" s="46"/>
      <c r="O353" s="46"/>
      <c r="P353" s="46"/>
    </row>
    <row r="354" spans="1:16" ht="16.5" x14ac:dyDescent="0.25">
      <c r="A354" s="228"/>
      <c r="B354" s="41"/>
      <c r="C354" s="228"/>
      <c r="D354" s="34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1"/>
      <c r="F354" s="41"/>
      <c r="G354" s="43"/>
      <c r="H354" s="346"/>
      <c r="I354" s="45"/>
      <c r="J354" s="45"/>
      <c r="K354" s="46"/>
      <c r="L354" s="46"/>
      <c r="M354" s="46"/>
      <c r="N354" s="46"/>
      <c r="O354" s="46"/>
      <c r="P354" s="46"/>
    </row>
    <row r="355" spans="1:16" ht="19.5" x14ac:dyDescent="0.3">
      <c r="A355" s="323"/>
      <c r="B355" s="324" t="s">
        <v>142</v>
      </c>
      <c r="C355" s="333"/>
      <c r="D355" s="325"/>
      <c r="E355" s="325"/>
      <c r="F355" s="325"/>
      <c r="G355" s="326"/>
      <c r="H355" s="326"/>
      <c r="I355" s="350"/>
      <c r="J355" s="350"/>
      <c r="K355" s="330"/>
      <c r="L355" s="330"/>
      <c r="M355" s="330"/>
      <c r="N355" s="330"/>
      <c r="O355" s="330"/>
      <c r="P355" s="330"/>
    </row>
    <row r="356" spans="1:16" ht="19.5" x14ac:dyDescent="0.3">
      <c r="A356" s="136"/>
      <c r="B356" s="41"/>
      <c r="C356" s="197" t="s">
        <v>16</v>
      </c>
      <c r="D356" s="397" t="s">
        <v>17</v>
      </c>
      <c r="E356" s="41"/>
      <c r="F356" s="41"/>
      <c r="G356" s="43"/>
      <c r="H356" s="139" t="s">
        <v>12</v>
      </c>
      <c r="I356" s="45"/>
      <c r="J356" s="45"/>
      <c r="K356" s="46"/>
      <c r="L356" s="140">
        <f ca="1">L357+L358</f>
        <v>814875</v>
      </c>
      <c r="M356" s="140">
        <f ca="1">M357+M358</f>
        <v>717275</v>
      </c>
      <c r="N356" s="140">
        <f ca="1">N357+N358</f>
        <v>81800</v>
      </c>
      <c r="O356" s="140">
        <f ca="1">IF(L356&gt;0,N356*100/L356,0)</f>
        <v>10.038349440098175</v>
      </c>
      <c r="P356" s="140">
        <f ca="1">IF(M356&gt;0,N356*100/M356,0)</f>
        <v>11.404273117005333</v>
      </c>
    </row>
    <row r="357" spans="1:16" ht="18.75" hidden="1" x14ac:dyDescent="0.25">
      <c r="A357" s="136"/>
      <c r="B357" s="41"/>
      <c r="C357" s="41"/>
      <c r="D357" s="41"/>
      <c r="E357" s="279" t="s">
        <v>18</v>
      </c>
      <c r="F357" s="41"/>
      <c r="G357" s="43"/>
      <c r="H357" s="141" t="s">
        <v>12</v>
      </c>
      <c r="I357" s="45"/>
      <c r="J357" s="45"/>
      <c r="K357" s="46"/>
      <c r="L357" s="50">
        <f>L360+L363</f>
        <v>0</v>
      </c>
      <c r="M357" s="50">
        <f>M360+M363</f>
        <v>0</v>
      </c>
      <c r="N357" s="50">
        <f>N360+N363</f>
        <v>0</v>
      </c>
      <c r="O357" s="50">
        <f>IF(L357&gt;0,N357*100/L357,0)</f>
        <v>0</v>
      </c>
      <c r="P357" s="50">
        <f>IF(M357&gt;0,N357*100/M357,0)</f>
        <v>0</v>
      </c>
    </row>
    <row r="358" spans="1:16" ht="18.75" x14ac:dyDescent="0.25">
      <c r="A358" s="136"/>
      <c r="B358" s="41"/>
      <c r="C358" s="41"/>
      <c r="D358" s="41"/>
      <c r="E358" s="254" t="s">
        <v>19</v>
      </c>
      <c r="F358" s="41"/>
      <c r="G358" s="43"/>
      <c r="H358" s="142" t="s">
        <v>12</v>
      </c>
      <c r="I358" s="45"/>
      <c r="J358" s="45"/>
      <c r="K358" s="46"/>
      <c r="L358" s="47">
        <f ca="1">L361+L364</f>
        <v>814875</v>
      </c>
      <c r="M358" s="47">
        <f ca="1">M361+M364</f>
        <v>717275</v>
      </c>
      <c r="N358" s="47">
        <f ca="1">N361+N364</f>
        <v>81800</v>
      </c>
      <c r="O358" s="47">
        <f ca="1">IF(L358&gt;0,N358*100/L358,0)</f>
        <v>10.038349440098175</v>
      </c>
      <c r="P358" s="47">
        <f ca="1">IF(M358&gt;0,N358*100/M358,0)</f>
        <v>11.404273117005333</v>
      </c>
    </row>
    <row r="359" spans="1:16" ht="18.75" x14ac:dyDescent="0.25">
      <c r="A359" s="136"/>
      <c r="B359" s="41"/>
      <c r="C359" s="41"/>
      <c r="D359" s="42" t="s">
        <v>20</v>
      </c>
      <c r="E359" s="41"/>
      <c r="F359" s="41"/>
      <c r="G359" s="43"/>
      <c r="H359" s="143" t="s">
        <v>12</v>
      </c>
      <c r="I359" s="144"/>
      <c r="J359" s="144"/>
      <c r="K359" s="145"/>
      <c r="L359" s="47">
        <f ca="1">L360+L361</f>
        <v>814875</v>
      </c>
      <c r="M359" s="47">
        <f ca="1">M360+M361</f>
        <v>717275</v>
      </c>
      <c r="N359" s="47">
        <f ca="1">N360+N361</f>
        <v>81800</v>
      </c>
      <c r="O359" s="47">
        <f ca="1">IF(L359&gt;0,N359*100/L359,0)</f>
        <v>10.038349440098175</v>
      </c>
      <c r="P359" s="47">
        <f ca="1">IF(M359&gt;0,N359*100/M359,0)</f>
        <v>11.404273117005333</v>
      </c>
    </row>
    <row r="360" spans="1:16" ht="18.75" hidden="1" x14ac:dyDescent="0.25">
      <c r="A360" s="136"/>
      <c r="B360" s="41"/>
      <c r="C360" s="41"/>
      <c r="D360" s="41"/>
      <c r="E360" s="279" t="s">
        <v>34</v>
      </c>
      <c r="F360" s="41"/>
      <c r="G360" s="43"/>
      <c r="H360" s="146" t="s">
        <v>12</v>
      </c>
      <c r="I360" s="144"/>
      <c r="J360" s="144"/>
      <c r="K360" s="145"/>
      <c r="L360" s="50">
        <v>0</v>
      </c>
      <c r="M360" s="50">
        <v>0</v>
      </c>
      <c r="N360" s="50">
        <v>0</v>
      </c>
      <c r="O360" s="50">
        <f>IF(L360&gt;0,N360*100/L360,0)</f>
        <v>0</v>
      </c>
      <c r="P360" s="50">
        <f>IF(M360&gt;0,N360*100/M360,0)</f>
        <v>0</v>
      </c>
    </row>
    <row r="361" spans="1:16" ht="18.75" x14ac:dyDescent="0.25">
      <c r="A361" s="136"/>
      <c r="B361" s="41"/>
      <c r="C361" s="41"/>
      <c r="D361" s="41"/>
      <c r="E361" s="254" t="s">
        <v>35</v>
      </c>
      <c r="F361" s="41"/>
      <c r="G361" s="43"/>
      <c r="H361" s="143" t="s">
        <v>12</v>
      </c>
      <c r="I361" s="144"/>
      <c r="J361" s="144"/>
      <c r="K361" s="145"/>
      <c r="L361" s="47">
        <f ca="1">IFERROR(__xludf.DUMMYFUNCTION("IMPORTRANGE(""https://docs.google.com/spreadsheets/d/1-uDff_7J0KD5mKrp0Vvzr7lt3OU09vwQwhkpOPPYv2Y/edit?usp=sharing"",""งบพรบ!FC19"")"),814875)</f>
        <v>814875</v>
      </c>
      <c r="M361" s="47">
        <f ca="1">IFERROR(__xludf.DUMMYFUNCTION("IMPORTRANGE(""https://docs.google.com/spreadsheets/d/1-uDff_7J0KD5mKrp0Vvzr7lt3OU09vwQwhkpOPPYv2Y/edit?usp=sharing"",""งบพรบ!FH19"")"),717275)</f>
        <v>717275</v>
      </c>
      <c r="N361" s="47">
        <f ca="1">IFERROR(__xludf.DUMMYFUNCTION("IMPORTRANGE(""https://docs.google.com/spreadsheets/d/1-uDff_7J0KD5mKrp0Vvzr7lt3OU09vwQwhkpOPPYv2Y/edit?usp=sharing"",""งบพรบ!FJ19"")"),81800)</f>
        <v>81800</v>
      </c>
      <c r="O361" s="47">
        <f ca="1">IF(L361&gt;0,N361*100/L361,0)</f>
        <v>10.038349440098175</v>
      </c>
      <c r="P361" s="47">
        <f ca="1">IF(M361&gt;0,N361*100/M361,0)</f>
        <v>11.404273117005333</v>
      </c>
    </row>
    <row r="362" spans="1:16" ht="18.75" x14ac:dyDescent="0.25">
      <c r="A362" s="136"/>
      <c r="B362" s="41"/>
      <c r="C362" s="41"/>
      <c r="D362" s="42" t="s">
        <v>21</v>
      </c>
      <c r="E362" s="41"/>
      <c r="F362" s="41"/>
      <c r="G362" s="43"/>
      <c r="H362" s="147" t="s">
        <v>12</v>
      </c>
      <c r="I362" s="144"/>
      <c r="J362" s="144"/>
      <c r="K362" s="145"/>
      <c r="L362" s="47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</row>
    <row r="363" spans="1:16" ht="18.75" hidden="1" x14ac:dyDescent="0.25">
      <c r="A363" s="136"/>
      <c r="B363" s="41"/>
      <c r="C363" s="41"/>
      <c r="D363" s="41"/>
      <c r="E363" s="279" t="s">
        <v>18</v>
      </c>
      <c r="F363" s="41"/>
      <c r="G363" s="43"/>
      <c r="H363" s="146" t="s">
        <v>12</v>
      </c>
      <c r="I363" s="144"/>
      <c r="J363" s="144"/>
      <c r="K363" s="145"/>
      <c r="L363" s="50">
        <v>0</v>
      </c>
      <c r="M363" s="50">
        <v>0</v>
      </c>
      <c r="N363" s="50">
        <v>0</v>
      </c>
      <c r="O363" s="50">
        <f>IF(L363&gt;0,N363*100/L363,0)</f>
        <v>0</v>
      </c>
      <c r="P363" s="50">
        <f>IF(M363&gt;0,N363*100/M363,0)</f>
        <v>0</v>
      </c>
    </row>
    <row r="364" spans="1:16" ht="18.75" x14ac:dyDescent="0.25">
      <c r="A364" s="136"/>
      <c r="B364" s="41"/>
      <c r="C364" s="41"/>
      <c r="D364" s="41"/>
      <c r="E364" s="254" t="s">
        <v>19</v>
      </c>
      <c r="F364" s="41"/>
      <c r="G364" s="43"/>
      <c r="H364" s="147" t="s">
        <v>12</v>
      </c>
      <c r="I364" s="144"/>
      <c r="J364" s="144"/>
      <c r="K364" s="145"/>
      <c r="L364" s="47">
        <f ca="1">IFERROR(__xludf.DUMMYFUNCTION("IMPORTRANGE(""https://docs.google.com/spreadsheets/d/1-uDff_7J0KD5mKrp0Vvzr7lt3OU09vwQwhkpOPPYv2Y/edit?usp=sharing"",""งบพรบ!FF19"")"),0)</f>
        <v>0</v>
      </c>
      <c r="M364" s="47">
        <f ca="1">IFERROR(__xludf.DUMMYFUNCTION("IMPORTRANGE(""https://docs.google.com/spreadsheets/d/1-uDff_7J0KD5mKrp0Vvzr7lt3OU09vwQwhkpOPPYv2Y/edit?usp=sharing"",""งบพรบ!FI19"")"),0)</f>
        <v>0</v>
      </c>
      <c r="N364" s="47">
        <f ca="1">IFERROR(__xludf.DUMMYFUNCTION("IMPORTRANGE(""https://docs.google.com/spreadsheets/d/1-uDff_7J0KD5mKrp0Vvzr7lt3OU09vwQwhkpOPPYv2Y/edit?usp=sharing"",""งบพรบ!FK19"")"),0)</f>
        <v>0</v>
      </c>
      <c r="O364" s="47">
        <f ca="1">IF(L364&gt;0,N364*100/L364,0)</f>
        <v>0</v>
      </c>
      <c r="P364" s="47">
        <f ca="1">IF(M364&gt;0,N364*100/M364,0)</f>
        <v>0</v>
      </c>
    </row>
    <row r="365" spans="1:16" ht="19.5" x14ac:dyDescent="0.3">
      <c r="A365" s="233"/>
      <c r="B365" s="234"/>
      <c r="C365" s="236"/>
      <c r="D365" s="396" t="s">
        <v>143</v>
      </c>
      <c r="E365" s="236"/>
      <c r="F365" s="236"/>
      <c r="G365" s="237"/>
      <c r="H365" s="245" t="s">
        <v>33</v>
      </c>
      <c r="I365" s="239">
        <f ca="1">I371</f>
        <v>532</v>
      </c>
      <c r="J365" s="239">
        <f ca="1">J371</f>
        <v>219</v>
      </c>
      <c r="K365" s="240">
        <f ca="1">IF(I365&gt;0,J365*100/I365,0)</f>
        <v>41.165413533834588</v>
      </c>
      <c r="L365" s="241"/>
      <c r="M365" s="241"/>
      <c r="N365" s="241"/>
      <c r="O365" s="241"/>
      <c r="P365" s="241"/>
    </row>
    <row r="366" spans="1:16" ht="19.5" x14ac:dyDescent="0.3">
      <c r="A366" s="148"/>
      <c r="B366" s="149"/>
      <c r="C366" s="197" t="s">
        <v>16</v>
      </c>
      <c r="D366" s="395" t="s">
        <v>36</v>
      </c>
      <c r="E366" s="151"/>
      <c r="F366" s="151"/>
      <c r="G366" s="152"/>
      <c r="H366" s="153"/>
      <c r="I366" s="45"/>
      <c r="J366" s="45"/>
      <c r="K366" s="46"/>
      <c r="L366" s="145"/>
      <c r="M366" s="145"/>
      <c r="N366" s="145"/>
      <c r="O366" s="145"/>
      <c r="P366" s="145"/>
    </row>
    <row r="367" spans="1:16" ht="18.75" x14ac:dyDescent="0.25">
      <c r="A367" s="148"/>
      <c r="B367" s="155"/>
      <c r="C367" s="149"/>
      <c r="D367" s="155"/>
      <c r="E367" s="154" t="s">
        <v>144</v>
      </c>
      <c r="F367" s="155"/>
      <c r="G367" s="153"/>
      <c r="H367" s="164" t="s">
        <v>33</v>
      </c>
      <c r="I367" s="169">
        <v>0</v>
      </c>
      <c r="J367" s="169">
        <f ca="1">IFERROR(__xludf.DUMMYFUNCTION("IMPORTRANGE(""https://docs.google.com/spreadsheets/d/1tdoBKaGub7dwA3U6UFTqxio9LNnvDCQjHKmttSEBsFQ/edit?usp=sharing"",""จัดที่ดิน!AB19"")"),48)</f>
        <v>48</v>
      </c>
      <c r="K367" s="47">
        <f>IF(I367&gt;0,J367*100/I367,0)</f>
        <v>0</v>
      </c>
      <c r="L367" s="145"/>
      <c r="M367" s="145"/>
      <c r="N367" s="145"/>
      <c r="O367" s="145"/>
      <c r="P367" s="145"/>
    </row>
    <row r="368" spans="1:16" ht="18.75" x14ac:dyDescent="0.25">
      <c r="A368" s="148"/>
      <c r="B368" s="155"/>
      <c r="C368" s="149"/>
      <c r="D368" s="155"/>
      <c r="E368" s="155"/>
      <c r="F368" s="155"/>
      <c r="G368" s="153"/>
      <c r="H368" s="164" t="s">
        <v>44</v>
      </c>
      <c r="I368" s="169">
        <f ca="1">IFERROR(__xludf.DUMMYFUNCTION("IMPORTRANGE(""https://docs.google.com/spreadsheets/d/1eHaY18a8A9IcSdp1K8H6x8fbOy06t2VsZHhMHf-1x7Y/edit?usp=sharing"",""แผน!EW19"")"),4230)</f>
        <v>4230</v>
      </c>
      <c r="J368" s="351">
        <f ca="1">IFERROR(__xludf.DUMMYFUNCTION("IMPORTRANGE(""https://docs.google.com/spreadsheets/d/1tdoBKaGub7dwA3U6UFTqxio9LNnvDCQjHKmttSEBsFQ/edit?usp=sharing"",""จัดที่ดิน!AC19"")"),246.6)</f>
        <v>246.6</v>
      </c>
      <c r="K368" s="47">
        <f ca="1">IF(I368&gt;0,J368*100/I368,0)</f>
        <v>5.8297872340425529</v>
      </c>
      <c r="L368" s="145"/>
      <c r="M368" s="145"/>
      <c r="N368" s="145"/>
      <c r="O368" s="145"/>
      <c r="P368" s="145"/>
    </row>
    <row r="369" spans="1:16" ht="18.75" x14ac:dyDescent="0.25">
      <c r="A369" s="148"/>
      <c r="B369" s="155"/>
      <c r="C369" s="149"/>
      <c r="D369" s="155"/>
      <c r="E369" s="154" t="s">
        <v>145</v>
      </c>
      <c r="F369" s="155"/>
      <c r="G369" s="153"/>
      <c r="H369" s="251" t="s">
        <v>33</v>
      </c>
      <c r="I369" s="169">
        <f ca="1">IFERROR(__xludf.DUMMYFUNCTION("IMPORTRANGE(""https://docs.google.com/spreadsheets/d/1eHaY18a8A9IcSdp1K8H6x8fbOy06t2VsZHhMHf-1x7Y/edit?usp=sharing"",""แผน!EX19"")"),820)</f>
        <v>820</v>
      </c>
      <c r="J369" s="169">
        <f ca="1">IFERROR(__xludf.DUMMYFUNCTION("IMPORTRANGE(""https://docs.google.com/spreadsheets/d/1tdoBKaGub7dwA3U6UFTqxio9LNnvDCQjHKmttSEBsFQ/edit?usp=sharing"",""จัดที่ดิน!AD19"")"),219)</f>
        <v>219</v>
      </c>
      <c r="K369" s="47">
        <f ca="1">IF(I369&gt;0,J369*100/I369,0)</f>
        <v>26.707317073170731</v>
      </c>
      <c r="L369" s="145"/>
      <c r="M369" s="145"/>
      <c r="N369" s="145"/>
      <c r="O369" s="145"/>
      <c r="P369" s="145"/>
    </row>
    <row r="370" spans="1:16" ht="18.75" x14ac:dyDescent="0.25">
      <c r="A370" s="148"/>
      <c r="B370" s="155"/>
      <c r="C370" s="149"/>
      <c r="D370" s="155"/>
      <c r="E370" s="155"/>
      <c r="F370" s="155"/>
      <c r="G370" s="153"/>
      <c r="H370" s="251" t="s">
        <v>44</v>
      </c>
      <c r="I370" s="169">
        <v>0</v>
      </c>
      <c r="J370" s="351">
        <f ca="1">IFERROR(__xludf.DUMMYFUNCTION("IMPORTRANGE(""https://docs.google.com/spreadsheets/d/1tdoBKaGub7dwA3U6UFTqxio9LNnvDCQjHKmttSEBsFQ/edit?usp=sharing"",""จัดที่ดิน!AE19"")"),1523.08)</f>
        <v>1523.08</v>
      </c>
      <c r="K370" s="47">
        <f>IF(I370&gt;0,J370*100/I370,0)</f>
        <v>0</v>
      </c>
      <c r="L370" s="145"/>
      <c r="M370" s="145"/>
      <c r="N370" s="145"/>
      <c r="O370" s="145"/>
      <c r="P370" s="145"/>
    </row>
    <row r="371" spans="1:16" ht="18.75" x14ac:dyDescent="0.25">
      <c r="A371" s="148"/>
      <c r="B371" s="155"/>
      <c r="C371" s="149"/>
      <c r="D371" s="155"/>
      <c r="E371" s="154" t="s">
        <v>146</v>
      </c>
      <c r="F371" s="155"/>
      <c r="G371" s="153"/>
      <c r="H371" s="251" t="s">
        <v>33</v>
      </c>
      <c r="I371" s="169">
        <f ca="1">IFERROR(__xludf.DUMMYFUNCTION("IMPORTRANGE(""https://docs.google.com/spreadsheets/d/1eHaY18a8A9IcSdp1K8H6x8fbOy06t2VsZHhMHf-1x7Y/edit?usp=sharing"",""แผน!EY19"")"),532)</f>
        <v>532</v>
      </c>
      <c r="J371" s="169">
        <f ca="1">IFERROR(__xludf.DUMMYFUNCTION("IMPORTRANGE(""https://docs.google.com/spreadsheets/d/1tdoBKaGub7dwA3U6UFTqxio9LNnvDCQjHKmttSEBsFQ/edit?usp=sharing"",""จัดที่ดิน!AF19"")"),219)</f>
        <v>219</v>
      </c>
      <c r="K371" s="47">
        <f ca="1">IF(I371&gt;0,J371*100/I371,0)</f>
        <v>41.165413533834588</v>
      </c>
      <c r="L371" s="145"/>
      <c r="M371" s="145"/>
      <c r="N371" s="145"/>
      <c r="O371" s="145"/>
      <c r="P371" s="145"/>
    </row>
    <row r="372" spans="1:16" ht="18.75" x14ac:dyDescent="0.25">
      <c r="A372" s="148"/>
      <c r="B372" s="155"/>
      <c r="C372" s="149"/>
      <c r="D372" s="155"/>
      <c r="E372" s="155"/>
      <c r="F372" s="155"/>
      <c r="G372" s="153"/>
      <c r="H372" s="251" t="s">
        <v>44</v>
      </c>
      <c r="I372" s="169">
        <v>0</v>
      </c>
      <c r="J372" s="351">
        <f ca="1">IFERROR(__xludf.DUMMYFUNCTION("IMPORTRANGE(""https://docs.google.com/spreadsheets/d/1tdoBKaGub7dwA3U6UFTqxio9LNnvDCQjHKmttSEBsFQ/edit?usp=sharing"",""จัดที่ดิน!AG19"")"),1520.89)</f>
        <v>1520.89</v>
      </c>
      <c r="K372" s="47">
        <f>IF(I372&gt;0,J372*100/I372,0)</f>
        <v>0</v>
      </c>
      <c r="L372" s="145"/>
      <c r="M372" s="145"/>
      <c r="N372" s="145"/>
      <c r="O372" s="145"/>
      <c r="P372" s="145"/>
    </row>
    <row r="373" spans="1:16" ht="16.5" x14ac:dyDescent="0.25">
      <c r="A373" s="2"/>
      <c r="B373" s="1"/>
      <c r="C373" s="2"/>
      <c r="D373" s="352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4"/>
      <c r="H373" s="54"/>
      <c r="I373" s="56"/>
      <c r="J373" s="56"/>
      <c r="K373" s="57"/>
      <c r="L373" s="57"/>
      <c r="M373" s="57"/>
      <c r="N373" s="57"/>
      <c r="O373" s="57"/>
      <c r="P373" s="57"/>
    </row>
    <row r="374" spans="1:16" ht="19.5" hidden="1" x14ac:dyDescent="0.3">
      <c r="A374" s="353" t="s">
        <v>147</v>
      </c>
      <c r="B374" s="354"/>
      <c r="C374" s="354"/>
      <c r="D374" s="354"/>
      <c r="E374" s="355"/>
      <c r="F374" s="355"/>
      <c r="G374" s="355"/>
      <c r="H374" s="355"/>
      <c r="I374" s="356"/>
      <c r="J374" s="356"/>
      <c r="K374" s="357"/>
      <c r="L374" s="357"/>
      <c r="M374" s="357"/>
      <c r="N374" s="357"/>
      <c r="O374" s="357"/>
      <c r="P374" s="358"/>
    </row>
    <row r="375" spans="1:16" ht="19.5" hidden="1" x14ac:dyDescent="0.3">
      <c r="A375" s="359" t="s">
        <v>148</v>
      </c>
      <c r="B375" s="360"/>
      <c r="C375" s="360"/>
      <c r="D375" s="361"/>
      <c r="E375" s="360"/>
      <c r="F375" s="360"/>
      <c r="G375" s="360"/>
      <c r="H375" s="362"/>
      <c r="I375" s="363"/>
      <c r="J375" s="363"/>
      <c r="K375" s="364"/>
      <c r="L375" s="364"/>
      <c r="M375" s="364"/>
      <c r="N375" s="364"/>
      <c r="O375" s="364"/>
      <c r="P375" s="364"/>
    </row>
    <row r="376" spans="1:16" ht="19.5" hidden="1" x14ac:dyDescent="0.3">
      <c r="A376" s="365"/>
      <c r="B376" s="366" t="s">
        <v>149</v>
      </c>
      <c r="C376" s="367"/>
      <c r="D376" s="368"/>
      <c r="E376" s="368"/>
      <c r="F376" s="368"/>
      <c r="G376" s="369"/>
      <c r="H376" s="370" t="s">
        <v>54</v>
      </c>
      <c r="I376" s="371">
        <f>I388</f>
        <v>0</v>
      </c>
      <c r="J376" s="371">
        <f>J388</f>
        <v>0</v>
      </c>
      <c r="K376" s="372">
        <f>IF(I376&gt;0,J376*100/I376,0)</f>
        <v>0</v>
      </c>
      <c r="L376" s="373"/>
      <c r="M376" s="373"/>
      <c r="N376" s="373"/>
      <c r="O376" s="373"/>
      <c r="P376" s="373"/>
    </row>
    <row r="377" spans="1:16" ht="19.5" hidden="1" x14ac:dyDescent="0.3">
      <c r="A377" s="136"/>
      <c r="B377" s="41"/>
      <c r="C377" s="260" t="s">
        <v>16</v>
      </c>
      <c r="D377" s="261" t="s">
        <v>17</v>
      </c>
      <c r="E377" s="41"/>
      <c r="F377" s="41"/>
      <c r="G377" s="43"/>
      <c r="H377" s="277" t="s">
        <v>12</v>
      </c>
      <c r="I377" s="45"/>
      <c r="J377" s="45"/>
      <c r="K377" s="46"/>
      <c r="L377" s="263">
        <f ca="1">L378+L379</f>
        <v>0</v>
      </c>
      <c r="M377" s="263">
        <f ca="1">M378+M379</f>
        <v>0</v>
      </c>
      <c r="N377" s="263">
        <f ca="1">N378+N379</f>
        <v>0</v>
      </c>
      <c r="O377" s="263">
        <f ca="1">IF(L377&gt;0,N377*100/L377,0)</f>
        <v>0</v>
      </c>
      <c r="P377" s="263">
        <f ca="1">IF(M377&gt;0,N377*100/M377,0)</f>
        <v>0</v>
      </c>
    </row>
    <row r="378" spans="1:16" ht="18.75" hidden="1" x14ac:dyDescent="0.25">
      <c r="A378" s="136"/>
      <c r="B378" s="41"/>
      <c r="C378" s="41"/>
      <c r="D378" s="41"/>
      <c r="E378" s="279" t="s">
        <v>18</v>
      </c>
      <c r="F378" s="41"/>
      <c r="G378" s="43"/>
      <c r="H378" s="141" t="s">
        <v>12</v>
      </c>
      <c r="I378" s="45"/>
      <c r="J378" s="45"/>
      <c r="K378" s="46"/>
      <c r="L378" s="50">
        <f>L381+L384</f>
        <v>0</v>
      </c>
      <c r="M378" s="50">
        <f>M381+M384</f>
        <v>0</v>
      </c>
      <c r="N378" s="50">
        <f>N381+N384</f>
        <v>0</v>
      </c>
      <c r="O378" s="50">
        <f>IF(L378&gt;0,N378*100/L378,0)</f>
        <v>0</v>
      </c>
      <c r="P378" s="50">
        <f>IF(M378&gt;0,N378*100/M378,0)</f>
        <v>0</v>
      </c>
    </row>
    <row r="379" spans="1:16" ht="18.75" hidden="1" x14ac:dyDescent="0.25">
      <c r="A379" s="136"/>
      <c r="B379" s="41"/>
      <c r="C379" s="41"/>
      <c r="D379" s="41"/>
      <c r="E379" s="279" t="s">
        <v>19</v>
      </c>
      <c r="F379" s="41"/>
      <c r="G379" s="43"/>
      <c r="H379" s="141" t="s">
        <v>12</v>
      </c>
      <c r="I379" s="45"/>
      <c r="J379" s="45"/>
      <c r="K379" s="46"/>
      <c r="L379" s="50">
        <f ca="1">L382+L385</f>
        <v>0</v>
      </c>
      <c r="M379" s="50">
        <f ca="1">M382+M385</f>
        <v>0</v>
      </c>
      <c r="N379" s="50">
        <f ca="1">N382+N385</f>
        <v>0</v>
      </c>
      <c r="O379" s="50">
        <f ca="1">IF(L379&gt;0,N379*100/L379,0)</f>
        <v>0</v>
      </c>
      <c r="P379" s="50">
        <f ca="1">IF(M379&gt;0,N379*100/M379,0)</f>
        <v>0</v>
      </c>
    </row>
    <row r="380" spans="1:16" ht="18.75" hidden="1" x14ac:dyDescent="0.25">
      <c r="A380" s="136"/>
      <c r="B380" s="41"/>
      <c r="C380" s="41"/>
      <c r="D380" s="278" t="s">
        <v>20</v>
      </c>
      <c r="E380" s="41"/>
      <c r="F380" s="41"/>
      <c r="G380" s="43"/>
      <c r="H380" s="146" t="s">
        <v>12</v>
      </c>
      <c r="I380" s="144"/>
      <c r="J380" s="144"/>
      <c r="K380" s="145"/>
      <c r="L380" s="50">
        <f ca="1">L381+L382</f>
        <v>0</v>
      </c>
      <c r="M380" s="50">
        <f ca="1">M381+M382</f>
        <v>0</v>
      </c>
      <c r="N380" s="50">
        <f ca="1">N381+N382</f>
        <v>0</v>
      </c>
      <c r="O380" s="50">
        <f ca="1">IF(L380&gt;0,N380*100/L380,0)</f>
        <v>0</v>
      </c>
      <c r="P380" s="50">
        <f ca="1">IF(M380&gt;0,N380*100/M380,0)</f>
        <v>0</v>
      </c>
    </row>
    <row r="381" spans="1:16" ht="18.75" hidden="1" x14ac:dyDescent="0.25">
      <c r="A381" s="136"/>
      <c r="B381" s="41"/>
      <c r="C381" s="41"/>
      <c r="D381" s="41"/>
      <c r="E381" s="279" t="s">
        <v>34</v>
      </c>
      <c r="F381" s="41"/>
      <c r="G381" s="43"/>
      <c r="H381" s="146" t="s">
        <v>12</v>
      </c>
      <c r="I381" s="144"/>
      <c r="J381" s="144"/>
      <c r="K381" s="145"/>
      <c r="L381" s="50">
        <v>0</v>
      </c>
      <c r="M381" s="50">
        <v>0</v>
      </c>
      <c r="N381" s="50">
        <v>0</v>
      </c>
      <c r="O381" s="50">
        <f>IF(L381&gt;0,N381*100/L381,0)</f>
        <v>0</v>
      </c>
      <c r="P381" s="50">
        <f>IF(M381&gt;0,N381*100/M381,0)</f>
        <v>0</v>
      </c>
    </row>
    <row r="382" spans="1:16" ht="18.75" hidden="1" x14ac:dyDescent="0.25">
      <c r="A382" s="136"/>
      <c r="B382" s="41"/>
      <c r="C382" s="41"/>
      <c r="D382" s="41"/>
      <c r="E382" s="279" t="s">
        <v>35</v>
      </c>
      <c r="F382" s="41"/>
      <c r="G382" s="43"/>
      <c r="H382" s="146" t="s">
        <v>12</v>
      </c>
      <c r="I382" s="144"/>
      <c r="J382" s="144"/>
      <c r="K382" s="145"/>
      <c r="L382" s="50">
        <f ca="1">IFERROR(__xludf.DUMMYFUNCTION("IMPORTRANGE(""https://docs.google.com/spreadsheets/d/1-uDff_7J0KD5mKrp0Vvzr7lt3OU09vwQwhkpOPPYv2Y/edit?usp=sharing"",""งบพรบ!FM19"")"),0)</f>
        <v>0</v>
      </c>
      <c r="M382" s="50">
        <f ca="1">IFERROR(__xludf.DUMMYFUNCTION("IMPORTRANGE(""https://docs.google.com/spreadsheets/d/1-uDff_7J0KD5mKrp0Vvzr7lt3OU09vwQwhkpOPPYv2Y/edit?usp=sharing"",""งบพรบ!FR19"")"),0)</f>
        <v>0</v>
      </c>
      <c r="N382" s="50">
        <f ca="1">IFERROR(__xludf.DUMMYFUNCTION("IMPORTRANGE(""https://docs.google.com/spreadsheets/d/1-uDff_7J0KD5mKrp0Vvzr7lt3OU09vwQwhkpOPPYv2Y/edit?usp=sharing"",""งบพรบ!FT19"")"),0)</f>
        <v>0</v>
      </c>
      <c r="O382" s="50">
        <f ca="1">IF(L382&gt;0,N382*100/L382,0)</f>
        <v>0</v>
      </c>
      <c r="P382" s="50">
        <f ca="1">IF(M382&gt;0,N382*100/M382,0)</f>
        <v>0</v>
      </c>
    </row>
    <row r="383" spans="1:16" ht="18.75" hidden="1" x14ac:dyDescent="0.25">
      <c r="A383" s="136"/>
      <c r="B383" s="41"/>
      <c r="C383" s="41"/>
      <c r="D383" s="278" t="s">
        <v>21</v>
      </c>
      <c r="E383" s="41"/>
      <c r="F383" s="41"/>
      <c r="G383" s="43"/>
      <c r="H383" s="199" t="s">
        <v>12</v>
      </c>
      <c r="I383" s="144"/>
      <c r="J383" s="144"/>
      <c r="K383" s="145"/>
      <c r="L383" s="50">
        <f ca="1">L384+L385</f>
        <v>0</v>
      </c>
      <c r="M383" s="50">
        <f ca="1">M384+M385</f>
        <v>0</v>
      </c>
      <c r="N383" s="50">
        <f ca="1">N384+N385</f>
        <v>0</v>
      </c>
      <c r="O383" s="50">
        <f ca="1">IF(L383&gt;0,N383*100/L383,0)</f>
        <v>0</v>
      </c>
      <c r="P383" s="50">
        <f ca="1">IF(M383&gt;0,N383*100/M383,0)</f>
        <v>0</v>
      </c>
    </row>
    <row r="384" spans="1:16" ht="18.75" hidden="1" x14ac:dyDescent="0.25">
      <c r="A384" s="136"/>
      <c r="B384" s="41"/>
      <c r="C384" s="41"/>
      <c r="D384" s="41"/>
      <c r="E384" s="279" t="s">
        <v>18</v>
      </c>
      <c r="F384" s="41"/>
      <c r="G384" s="43"/>
      <c r="H384" s="146" t="s">
        <v>12</v>
      </c>
      <c r="I384" s="144"/>
      <c r="J384" s="144"/>
      <c r="K384" s="145"/>
      <c r="L384" s="50">
        <v>0</v>
      </c>
      <c r="M384" s="50">
        <v>0</v>
      </c>
      <c r="N384" s="50">
        <v>0</v>
      </c>
      <c r="O384" s="50">
        <f>IF(L384&gt;0,N384*100/L384,0)</f>
        <v>0</v>
      </c>
      <c r="P384" s="50">
        <f>IF(M384&gt;0,N384*100/M384,0)</f>
        <v>0</v>
      </c>
    </row>
    <row r="385" spans="1:16" ht="18.75" hidden="1" x14ac:dyDescent="0.25">
      <c r="A385" s="136"/>
      <c r="B385" s="41"/>
      <c r="C385" s="41"/>
      <c r="D385" s="41"/>
      <c r="E385" s="279" t="s">
        <v>19</v>
      </c>
      <c r="F385" s="41"/>
      <c r="G385" s="43"/>
      <c r="H385" s="199" t="s">
        <v>12</v>
      </c>
      <c r="I385" s="144"/>
      <c r="J385" s="144"/>
      <c r="K385" s="145"/>
      <c r="L385" s="50">
        <f ca="1">IFERROR(__xludf.DUMMYFUNCTION("IMPORTRANGE(""https://docs.google.com/spreadsheets/d/1-uDff_7J0KD5mKrp0Vvzr7lt3OU09vwQwhkpOPPYv2Y/edit?usp=sharing"",""งบพรบ!FP19"")"),0)</f>
        <v>0</v>
      </c>
      <c r="M385" s="50">
        <f ca="1">IFERROR(__xludf.DUMMYFUNCTION("IMPORTRANGE(""https://docs.google.com/spreadsheets/d/1-uDff_7J0KD5mKrp0Vvzr7lt3OU09vwQwhkpOPPYv2Y/edit?usp=sharing"",""งบพรบ!FS19"")"),0)</f>
        <v>0</v>
      </c>
      <c r="N385" s="50">
        <f ca="1">IFERROR(__xludf.DUMMYFUNCTION("IMPORTRANGE(""https://docs.google.com/spreadsheets/d/1-uDff_7J0KD5mKrp0Vvzr7lt3OU09vwQwhkpOPPYv2Y/edit?usp=sharing"",""งบพรบ!FU19"")"),0)</f>
        <v>0</v>
      </c>
      <c r="O385" s="50">
        <f ca="1">IF(L385&gt;0,N385*100/L385,0)</f>
        <v>0</v>
      </c>
      <c r="P385" s="50">
        <f ca="1">IF(M385&gt;0,N385*100/M385,0)</f>
        <v>0</v>
      </c>
    </row>
    <row r="386" spans="1:16" ht="19.5" hidden="1" x14ac:dyDescent="0.3">
      <c r="A386" s="148"/>
      <c r="B386" s="149"/>
      <c r="C386" s="260" t="s">
        <v>16</v>
      </c>
      <c r="D386" s="394" t="s">
        <v>36</v>
      </c>
      <c r="E386" s="151"/>
      <c r="F386" s="151"/>
      <c r="G386" s="152"/>
      <c r="H386" s="153"/>
      <c r="I386" s="144"/>
      <c r="J386" s="45"/>
      <c r="K386" s="46"/>
      <c r="L386" s="46"/>
      <c r="M386" s="46"/>
      <c r="N386" s="46"/>
      <c r="O386" s="145"/>
      <c r="P386" s="145"/>
    </row>
    <row r="387" spans="1:16" ht="18.75" hidden="1" x14ac:dyDescent="0.25">
      <c r="A387" s="227"/>
      <c r="B387" s="41"/>
      <c r="C387" s="228"/>
      <c r="D387" s="267" t="s">
        <v>150</v>
      </c>
      <c r="E387" s="149"/>
      <c r="F387" s="41"/>
      <c r="G387" s="43"/>
      <c r="H387" s="232" t="s">
        <v>9</v>
      </c>
      <c r="I387" s="200">
        <v>0</v>
      </c>
      <c r="J387" s="201">
        <v>0</v>
      </c>
      <c r="K387" s="50">
        <f>IF(I387&gt;0,J387*100/I387,0)</f>
        <v>0</v>
      </c>
      <c r="L387" s="46"/>
      <c r="M387" s="46"/>
      <c r="N387" s="46"/>
      <c r="O387" s="46"/>
      <c r="P387" s="46"/>
    </row>
    <row r="388" spans="1:16" ht="18.75" hidden="1" x14ac:dyDescent="0.25">
      <c r="A388" s="374"/>
      <c r="B388" s="1"/>
      <c r="C388" s="2"/>
      <c r="D388" s="375" t="s">
        <v>151</v>
      </c>
      <c r="E388" s="281"/>
      <c r="F388" s="1"/>
      <c r="G388" s="54"/>
      <c r="H388" s="376" t="s">
        <v>54</v>
      </c>
      <c r="I388" s="205">
        <v>0</v>
      </c>
      <c r="J388" s="206">
        <v>0</v>
      </c>
      <c r="K388" s="207">
        <f>IF(I388&gt;0,J388*100/I388,0)</f>
        <v>0</v>
      </c>
      <c r="L388" s="57"/>
      <c r="M388" s="57"/>
      <c r="N388" s="57"/>
      <c r="O388" s="57"/>
      <c r="P388" s="57"/>
    </row>
    <row r="389" spans="1:16" ht="12.75" x14ac:dyDescent="0.2">
      <c r="A389" s="168"/>
      <c r="B389" s="168"/>
      <c r="C389" s="168"/>
      <c r="D389" s="168"/>
      <c r="E389" s="168"/>
      <c r="F389" s="168"/>
      <c r="G389" s="168"/>
      <c r="H389" s="168"/>
      <c r="I389" s="168"/>
      <c r="J389" s="168"/>
      <c r="K389" s="168"/>
      <c r="L389" s="168"/>
      <c r="M389" s="168"/>
      <c r="N389" s="168"/>
      <c r="O389" s="168"/>
      <c r="P389" s="168"/>
    </row>
    <row r="390" spans="1:16" ht="16.5" x14ac:dyDescent="0.25">
      <c r="A390" s="377" t="s">
        <v>152</v>
      </c>
      <c r="B390" s="168"/>
      <c r="C390" s="168"/>
      <c r="D390" s="168"/>
      <c r="E390" s="168"/>
      <c r="F390" s="168"/>
      <c r="G390" s="168"/>
      <c r="H390" s="168"/>
      <c r="I390" s="168"/>
      <c r="J390" s="168"/>
      <c r="K390" s="168"/>
      <c r="L390" s="168"/>
      <c r="M390" s="168"/>
      <c r="N390" s="168"/>
      <c r="O390" s="168"/>
      <c r="P390" s="168"/>
    </row>
    <row r="391" spans="1:16" ht="16.5" x14ac:dyDescent="0.25">
      <c r="A391" s="377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8"/>
      <c r="C391" s="168"/>
      <c r="D391" s="168"/>
      <c r="E391" s="168"/>
      <c r="F391" s="168"/>
      <c r="G391" s="168"/>
      <c r="H391" s="168"/>
      <c r="I391" s="168"/>
      <c r="J391" s="168"/>
      <c r="K391" s="168"/>
      <c r="L391" s="168"/>
      <c r="M391" s="168"/>
      <c r="N391" s="168"/>
      <c r="O391" s="168"/>
      <c r="P391" s="16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2" orientation="portrait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8369E-BBB0-4AAF-8873-A6A8A5831902}">
  <sheetPr>
    <outlinePr summaryBelow="0" summaryRight="0"/>
  </sheetPr>
  <dimension ref="A1:P391"/>
  <sheetViews>
    <sheetView view="pageBreakPreview" zoomScale="60" zoomScaleNormal="68" workbookViewId="0">
      <pane xSplit="8" ySplit="6" topLeftCell="I7" activePane="bottomRight" state="frozen"/>
      <selection activeCell="P44" sqref="P44"/>
      <selection pane="topRight" activeCell="P44" sqref="P44"/>
      <selection pane="bottomLeft" activeCell="P44" sqref="P44"/>
      <selection pane="bottomRight" activeCell="P44" sqref="P4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3" width="21.5703125" bestFit="1" customWidth="1"/>
    <col min="14" max="14" width="19" bestFit="1" customWidth="1"/>
    <col min="15" max="15" width="17.5703125" customWidth="1"/>
    <col min="16" max="16" width="22.42578125" bestFit="1" customWidth="1"/>
  </cols>
  <sheetData>
    <row r="1" spans="1:16" ht="19.5" x14ac:dyDescent="0.3">
      <c r="A1" s="386" t="s">
        <v>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</row>
    <row r="2" spans="1:16" ht="19.5" x14ac:dyDescent="0.3">
      <c r="A2" s="386" t="s">
        <v>163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</row>
    <row r="3" spans="1:16" ht="19.5" x14ac:dyDescent="0.3">
      <c r="A3" s="386" t="s">
        <v>175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388" t="s">
        <v>2</v>
      </c>
      <c r="B5" s="387"/>
      <c r="C5" s="387"/>
      <c r="D5" s="387"/>
      <c r="E5" s="387"/>
      <c r="F5" s="387"/>
      <c r="G5" s="389"/>
      <c r="H5" s="4" t="s">
        <v>3</v>
      </c>
      <c r="I5" s="391" t="s">
        <v>4</v>
      </c>
      <c r="J5" s="379"/>
      <c r="K5" s="380"/>
      <c r="L5" s="392" t="s">
        <v>5</v>
      </c>
      <c r="M5" s="380"/>
      <c r="N5" s="393" t="s">
        <v>6</v>
      </c>
      <c r="O5" s="379"/>
      <c r="P5" s="380"/>
    </row>
    <row r="6" spans="1:16" ht="19.5" x14ac:dyDescent="0.3">
      <c r="A6" s="390"/>
      <c r="B6" s="379"/>
      <c r="C6" s="379"/>
      <c r="D6" s="379"/>
      <c r="E6" s="379"/>
      <c r="F6" s="379"/>
      <c r="G6" s="380"/>
      <c r="H6" s="5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466" t="s">
        <v>14</v>
      </c>
    </row>
    <row r="7" spans="1:16" ht="12.75" hidden="1" x14ac:dyDescent="0.2">
      <c r="A7" s="381"/>
      <c r="B7" s="379"/>
      <c r="C7" s="379"/>
      <c r="D7" s="379"/>
      <c r="E7" s="379"/>
      <c r="F7" s="379"/>
      <c r="G7" s="380"/>
      <c r="H7" s="12"/>
      <c r="I7" s="13"/>
      <c r="J7" s="13"/>
      <c r="K7" s="14"/>
      <c r="L7" s="14"/>
      <c r="M7" s="14"/>
      <c r="N7" s="14"/>
      <c r="O7" s="14"/>
      <c r="P7" s="14"/>
    </row>
    <row r="8" spans="1:16" ht="12.75" hidden="1" x14ac:dyDescent="0.2">
      <c r="A8" s="15"/>
      <c r="B8" s="16"/>
      <c r="C8" s="16"/>
      <c r="D8" s="16"/>
      <c r="E8" s="16"/>
      <c r="F8" s="16"/>
      <c r="G8" s="17"/>
      <c r="H8" s="17"/>
      <c r="I8" s="18"/>
      <c r="J8" s="18"/>
      <c r="K8" s="19"/>
      <c r="L8" s="19"/>
      <c r="M8" s="19"/>
      <c r="N8" s="19"/>
      <c r="O8" s="19"/>
      <c r="P8" s="19"/>
    </row>
    <row r="9" spans="1:16" ht="12.75" hidden="1" x14ac:dyDescent="0.2">
      <c r="A9" s="15"/>
      <c r="B9" s="16"/>
      <c r="C9" s="16"/>
      <c r="D9" s="16"/>
      <c r="E9" s="16"/>
      <c r="F9" s="16"/>
      <c r="G9" s="17"/>
      <c r="H9" s="17"/>
      <c r="I9" s="18"/>
      <c r="J9" s="18"/>
      <c r="K9" s="19"/>
      <c r="L9" s="19"/>
      <c r="M9" s="19"/>
      <c r="N9" s="19"/>
      <c r="O9" s="19"/>
      <c r="P9" s="19"/>
    </row>
    <row r="10" spans="1:16" ht="12.75" hidden="1" x14ac:dyDescent="0.2">
      <c r="A10" s="15"/>
      <c r="B10" s="16"/>
      <c r="C10" s="16"/>
      <c r="D10" s="16"/>
      <c r="E10" s="16"/>
      <c r="F10" s="16"/>
      <c r="G10" s="17"/>
      <c r="H10" s="17"/>
      <c r="I10" s="18"/>
      <c r="J10" s="18"/>
      <c r="K10" s="19"/>
      <c r="L10" s="19"/>
      <c r="M10" s="19"/>
      <c r="N10" s="19"/>
      <c r="O10" s="19"/>
      <c r="P10" s="19"/>
    </row>
    <row r="11" spans="1:16" ht="12.75" hidden="1" x14ac:dyDescent="0.2">
      <c r="A11" s="15"/>
      <c r="B11" s="16"/>
      <c r="C11" s="16"/>
      <c r="D11" s="16"/>
      <c r="E11" s="16"/>
      <c r="F11" s="16"/>
      <c r="G11" s="17"/>
      <c r="H11" s="17"/>
      <c r="I11" s="18"/>
      <c r="J11" s="18"/>
      <c r="K11" s="19"/>
      <c r="L11" s="19"/>
      <c r="M11" s="19"/>
      <c r="N11" s="19"/>
      <c r="O11" s="19"/>
      <c r="P11" s="19"/>
    </row>
    <row r="12" spans="1:16" ht="12.75" hidden="1" x14ac:dyDescent="0.2">
      <c r="A12" s="15"/>
      <c r="B12" s="16"/>
      <c r="C12" s="16"/>
      <c r="D12" s="16"/>
      <c r="E12" s="16"/>
      <c r="F12" s="16"/>
      <c r="G12" s="17"/>
      <c r="H12" s="17"/>
      <c r="I12" s="18"/>
      <c r="J12" s="18"/>
      <c r="K12" s="19"/>
      <c r="L12" s="19"/>
      <c r="M12" s="19"/>
      <c r="N12" s="19"/>
      <c r="O12" s="19"/>
      <c r="P12" s="19"/>
    </row>
    <row r="13" spans="1:16" ht="12.75" hidden="1" x14ac:dyDescent="0.2">
      <c r="A13" s="15"/>
      <c r="B13" s="16"/>
      <c r="C13" s="16"/>
      <c r="D13" s="16"/>
      <c r="E13" s="16"/>
      <c r="F13" s="16"/>
      <c r="G13" s="17"/>
      <c r="H13" s="17"/>
      <c r="I13" s="18"/>
      <c r="J13" s="18"/>
      <c r="K13" s="19"/>
      <c r="L13" s="19"/>
      <c r="M13" s="19"/>
      <c r="N13" s="19"/>
      <c r="O13" s="19"/>
      <c r="P13" s="19"/>
    </row>
    <row r="14" spans="1:16" ht="12.75" hidden="1" x14ac:dyDescent="0.2">
      <c r="A14" s="15"/>
      <c r="B14" s="16"/>
      <c r="C14" s="16"/>
      <c r="D14" s="16"/>
      <c r="E14" s="16"/>
      <c r="F14" s="16"/>
      <c r="G14" s="17"/>
      <c r="H14" s="17"/>
      <c r="I14" s="18"/>
      <c r="J14" s="18"/>
      <c r="K14" s="19"/>
      <c r="L14" s="19"/>
      <c r="M14" s="19"/>
      <c r="N14" s="19"/>
      <c r="O14" s="19"/>
      <c r="P14" s="19"/>
    </row>
    <row r="15" spans="1:16" ht="12.75" hidden="1" x14ac:dyDescent="0.2">
      <c r="A15" s="15"/>
      <c r="B15" s="16"/>
      <c r="C15" s="16"/>
      <c r="D15" s="16"/>
      <c r="E15" s="16"/>
      <c r="F15" s="16"/>
      <c r="G15" s="17"/>
      <c r="H15" s="17"/>
      <c r="I15" s="18"/>
      <c r="J15" s="18"/>
      <c r="K15" s="19"/>
      <c r="L15" s="19"/>
      <c r="M15" s="19"/>
      <c r="N15" s="19"/>
      <c r="O15" s="19"/>
      <c r="P15" s="19"/>
    </row>
    <row r="16" spans="1:16" ht="12.75" hidden="1" x14ac:dyDescent="0.2">
      <c r="A16" s="20"/>
      <c r="B16" s="21"/>
      <c r="C16" s="21"/>
      <c r="D16" s="21"/>
      <c r="E16" s="21"/>
      <c r="F16" s="21"/>
      <c r="G16" s="12"/>
      <c r="H16" s="12"/>
      <c r="I16" s="13"/>
      <c r="J16" s="13"/>
      <c r="K16" s="14"/>
      <c r="L16" s="14"/>
      <c r="M16" s="14"/>
      <c r="N16" s="14"/>
      <c r="O16" s="14"/>
      <c r="P16" s="14"/>
    </row>
    <row r="17" spans="1:16" ht="19.5" x14ac:dyDescent="0.3">
      <c r="A17" s="378" t="s">
        <v>15</v>
      </c>
      <c r="B17" s="379"/>
      <c r="C17" s="379"/>
      <c r="D17" s="379"/>
      <c r="E17" s="379"/>
      <c r="F17" s="379"/>
      <c r="G17" s="380"/>
      <c r="H17" s="22"/>
      <c r="I17" s="23"/>
      <c r="J17" s="23"/>
      <c r="K17" s="24"/>
      <c r="L17" s="24"/>
      <c r="M17" s="24"/>
      <c r="N17" s="24"/>
      <c r="O17" s="24"/>
      <c r="P17" s="24"/>
    </row>
    <row r="18" spans="1:16" ht="19.5" x14ac:dyDescent="0.3">
      <c r="A18" s="25"/>
      <c r="B18" s="26"/>
      <c r="C18" s="132" t="s">
        <v>16</v>
      </c>
      <c r="D18" s="28" t="s">
        <v>17</v>
      </c>
      <c r="E18" s="26"/>
      <c r="F18" s="26"/>
      <c r="G18" s="29"/>
      <c r="H18" s="30" t="s">
        <v>12</v>
      </c>
      <c r="I18" s="31"/>
      <c r="J18" s="31"/>
      <c r="K18" s="32"/>
      <c r="L18" s="33">
        <f ca="1">L19+L20</f>
        <v>2260740</v>
      </c>
      <c r="M18" s="33">
        <f ca="1">M19+M20</f>
        <v>1913720</v>
      </c>
      <c r="N18" s="33">
        <f ca="1">N19+N20</f>
        <v>407249.73</v>
      </c>
      <c r="O18" s="33">
        <f ca="1">IF(L18&gt;0,N18*100/L18,0)</f>
        <v>18.014001167759229</v>
      </c>
      <c r="P18" s="33">
        <f ca="1">IF(M18&gt;0,N18*100/M18,0)</f>
        <v>21.280528499467007</v>
      </c>
    </row>
    <row r="19" spans="1:16" ht="18.75" hidden="1" x14ac:dyDescent="0.25">
      <c r="A19" s="25"/>
      <c r="B19" s="26"/>
      <c r="C19" s="26"/>
      <c r="D19" s="26"/>
      <c r="E19" s="34" t="s">
        <v>18</v>
      </c>
      <c r="F19" s="26"/>
      <c r="G19" s="29"/>
      <c r="H19" s="35" t="s">
        <v>12</v>
      </c>
      <c r="I19" s="31"/>
      <c r="J19" s="31"/>
      <c r="K19" s="32"/>
      <c r="L19" s="36">
        <f>L22+L25</f>
        <v>0</v>
      </c>
      <c r="M19" s="36">
        <f>M22+M25</f>
        <v>0</v>
      </c>
      <c r="N19" s="36">
        <f>N22+N25</f>
        <v>0</v>
      </c>
      <c r="O19" s="36">
        <f>IF(L19&gt;0,N19*100/L19,0)</f>
        <v>0</v>
      </c>
      <c r="P19" s="36">
        <f>IF(M19&gt;0,N19*100/M19,0)</f>
        <v>0</v>
      </c>
    </row>
    <row r="20" spans="1:16" ht="18.75" x14ac:dyDescent="0.25">
      <c r="A20" s="25"/>
      <c r="B20" s="26"/>
      <c r="C20" s="26"/>
      <c r="D20" s="26"/>
      <c r="E20" s="37" t="s">
        <v>19</v>
      </c>
      <c r="F20" s="26"/>
      <c r="G20" s="29"/>
      <c r="H20" s="38" t="s">
        <v>12</v>
      </c>
      <c r="I20" s="31"/>
      <c r="J20" s="31"/>
      <c r="K20" s="32"/>
      <c r="L20" s="39">
        <f ca="1">L23+L26</f>
        <v>2260740</v>
      </c>
      <c r="M20" s="39">
        <f ca="1">M23+M26</f>
        <v>1913720</v>
      </c>
      <c r="N20" s="39">
        <f ca="1">N23+N26</f>
        <v>407249.73</v>
      </c>
      <c r="O20" s="39">
        <f ca="1">IF(L20&gt;0,N20*100/L20,0)</f>
        <v>18.014001167759229</v>
      </c>
      <c r="P20" s="39">
        <f ca="1">IF(M20&gt;0,N20*100/M20,0)</f>
        <v>21.280528499467007</v>
      </c>
    </row>
    <row r="21" spans="1:16" ht="18.75" x14ac:dyDescent="0.25">
      <c r="A21" s="40"/>
      <c r="B21" s="41"/>
      <c r="C21" s="41"/>
      <c r="D21" s="42" t="s">
        <v>20</v>
      </c>
      <c r="E21" s="41"/>
      <c r="F21" s="41"/>
      <c r="G21" s="43"/>
      <c r="H21" s="44" t="s">
        <v>12</v>
      </c>
      <c r="I21" s="45"/>
      <c r="J21" s="45"/>
      <c r="K21" s="46"/>
      <c r="L21" s="47">
        <f ca="1">L22+L23</f>
        <v>2260740</v>
      </c>
      <c r="M21" s="47">
        <f ca="1">M22+M23</f>
        <v>1913720</v>
      </c>
      <c r="N21" s="47">
        <f ca="1">N22+N23</f>
        <v>407249.73</v>
      </c>
      <c r="O21" s="47">
        <f ca="1">IF(L21&gt;0,N21*100/L21,0)</f>
        <v>18.014001167759229</v>
      </c>
      <c r="P21" s="47">
        <f ca="1">IF(M21&gt;0,N21*100/M21,0)</f>
        <v>21.280528499467007</v>
      </c>
    </row>
    <row r="22" spans="1:16" ht="18.75" hidden="1" x14ac:dyDescent="0.25">
      <c r="A22" s="40"/>
      <c r="B22" s="41"/>
      <c r="C22" s="41"/>
      <c r="D22" s="41"/>
      <c r="E22" s="279" t="s">
        <v>18</v>
      </c>
      <c r="F22" s="41"/>
      <c r="G22" s="43"/>
      <c r="H22" s="49" t="s">
        <v>12</v>
      </c>
      <c r="I22" s="45"/>
      <c r="J22" s="45"/>
      <c r="K22" s="46"/>
      <c r="L22" s="50">
        <f>L48+L63+L76+L98+L129+L143+L161+L190+L177+L270+L286+L307+L324+L337+L360+L381</f>
        <v>0</v>
      </c>
      <c r="M22" s="50">
        <f>M48+M63+M76+M98+M129+M143+M161+M190+M177+M270+M286+M307+M324+M337+M360+M381</f>
        <v>0</v>
      </c>
      <c r="N22" s="50">
        <f>N48+N63+N76+N98+N129+N143+N161+N190+N177+N270+N286+N307+N324+N337+N360+N381</f>
        <v>0</v>
      </c>
      <c r="O22" s="50">
        <f>IF(L22&gt;0,N22*100/L22,0)</f>
        <v>0</v>
      </c>
      <c r="P22" s="50">
        <f>IF(M22&gt;0,N22*100/M22,0)</f>
        <v>0</v>
      </c>
    </row>
    <row r="23" spans="1:16" ht="18.75" x14ac:dyDescent="0.25">
      <c r="A23" s="40"/>
      <c r="B23" s="41"/>
      <c r="C23" s="41"/>
      <c r="D23" s="41"/>
      <c r="E23" s="254" t="s">
        <v>19</v>
      </c>
      <c r="F23" s="41"/>
      <c r="G23" s="43"/>
      <c r="H23" s="44" t="s">
        <v>12</v>
      </c>
      <c r="I23" s="45"/>
      <c r="J23" s="45"/>
      <c r="K23" s="46"/>
      <c r="L23" s="47">
        <f ca="1">L49+L64+L77+L99+L130+L144+L162+L191+L178+L271+L287+L308+L325+L338+L361+L382</f>
        <v>2260740</v>
      </c>
      <c r="M23" s="47">
        <f ca="1">M49+M64+M77+M99+M130+M144+M162+M191+M178+M271+M287+M308+M325+M338+M361+M382</f>
        <v>1913720</v>
      </c>
      <c r="N23" s="47">
        <f ca="1">N49+N64+N77+N99+N130+N144+N162+N191+N178+N271+N287+N308+N325+N338+N361+N382</f>
        <v>407249.73</v>
      </c>
      <c r="O23" s="47">
        <f ca="1">IF(L23&gt;0,N23*100/L23,0)</f>
        <v>18.014001167759229</v>
      </c>
      <c r="P23" s="47">
        <f ca="1">IF(M23&gt;0,N23*100/M23,0)</f>
        <v>21.280528499467007</v>
      </c>
    </row>
    <row r="24" spans="1:16" ht="18.75" x14ac:dyDescent="0.25">
      <c r="A24" s="40"/>
      <c r="B24" s="41"/>
      <c r="C24" s="41"/>
      <c r="D24" s="42" t="s">
        <v>21</v>
      </c>
      <c r="E24" s="41"/>
      <c r="F24" s="41"/>
      <c r="G24" s="43"/>
      <c r="H24" s="44" t="s">
        <v>12</v>
      </c>
      <c r="I24" s="45"/>
      <c r="J24" s="45"/>
      <c r="K24" s="46"/>
      <c r="L24" s="47">
        <f ca="1">L25+L26</f>
        <v>0</v>
      </c>
      <c r="M24" s="47">
        <f ca="1">M25+M26</f>
        <v>0</v>
      </c>
      <c r="N24" s="47">
        <f ca="1">N25+N26</f>
        <v>0</v>
      </c>
      <c r="O24" s="47">
        <f ca="1">IF(L24&gt;0,N24*100/L24,0)</f>
        <v>0</v>
      </c>
      <c r="P24" s="47">
        <f ca="1">IF(M24&gt;0,N24*100/M24,0)</f>
        <v>0</v>
      </c>
    </row>
    <row r="25" spans="1:16" ht="18.75" hidden="1" x14ac:dyDescent="0.25">
      <c r="A25" s="40"/>
      <c r="B25" s="41"/>
      <c r="C25" s="41"/>
      <c r="D25" s="41"/>
      <c r="E25" s="279" t="s">
        <v>18</v>
      </c>
      <c r="F25" s="41"/>
      <c r="G25" s="43"/>
      <c r="H25" s="49" t="s">
        <v>12</v>
      </c>
      <c r="I25" s="45"/>
      <c r="J25" s="45"/>
      <c r="K25" s="46"/>
      <c r="L25" s="50">
        <f>L51+L66+L79+L101+L132+L146+L164+L193+L180+L273+L289+L310+L327+L340+L363+L384</f>
        <v>0</v>
      </c>
      <c r="M25" s="50">
        <f>M51+M66+M79+M101+M132+M146+M164+M193+M180+M273+M289+M310+M327+M340+M363+M384</f>
        <v>0</v>
      </c>
      <c r="N25" s="50">
        <f>N51+N66+N79+N101+N132+N146+N164+N193+N180+N273+N289+N310+N327+N340+N363+N384</f>
        <v>0</v>
      </c>
      <c r="O25" s="50">
        <f>IF(L25&gt;0,N25*100/L25,0)</f>
        <v>0</v>
      </c>
      <c r="P25" s="50">
        <f>IF(M25&gt;0,N25*100/M25,0)</f>
        <v>0</v>
      </c>
    </row>
    <row r="26" spans="1:16" ht="18.75" x14ac:dyDescent="0.25">
      <c r="A26" s="40"/>
      <c r="B26" s="41"/>
      <c r="C26" s="41"/>
      <c r="D26" s="41"/>
      <c r="E26" s="254" t="s">
        <v>19</v>
      </c>
      <c r="F26" s="41"/>
      <c r="G26" s="43"/>
      <c r="H26" s="44" t="s">
        <v>12</v>
      </c>
      <c r="I26" s="45"/>
      <c r="J26" s="45"/>
      <c r="K26" s="46"/>
      <c r="L26" s="47">
        <f ca="1">L52+L67+L80+L102+L133+L147+L165+L194+L181+L274+L290+L311+L328+L341+L364+L385</f>
        <v>0</v>
      </c>
      <c r="M26" s="47">
        <f ca="1">M52+M67+M80+M102+M133+M147+M165+M194+M181+M274+M290+M311+M328+M341+M364+M385</f>
        <v>0</v>
      </c>
      <c r="N26" s="47">
        <f ca="1">N52+N67+N80+N102+N133+N147+N165+N194+N181+N274+N290+N311+N328+N341+N364+N385</f>
        <v>0</v>
      </c>
      <c r="O26" s="47">
        <f ca="1">IF(L26&gt;0,N26*100/L26,0)</f>
        <v>0</v>
      </c>
      <c r="P26" s="47">
        <f ca="1">IF(M26&gt;0,N26*100/M26,0)</f>
        <v>0</v>
      </c>
    </row>
    <row r="27" spans="1:16" ht="18.75" hidden="1" x14ac:dyDescent="0.25">
      <c r="A27" s="40"/>
      <c r="B27" s="41"/>
      <c r="C27" s="41"/>
      <c r="D27" s="42" t="s">
        <v>22</v>
      </c>
      <c r="E27" s="41"/>
      <c r="F27" s="41"/>
      <c r="G27" s="43"/>
      <c r="H27" s="44" t="s">
        <v>12</v>
      </c>
      <c r="I27" s="45"/>
      <c r="J27" s="45"/>
      <c r="K27" s="46"/>
      <c r="L27" s="47"/>
      <c r="M27" s="47"/>
      <c r="N27" s="47"/>
      <c r="O27" s="47"/>
      <c r="P27" s="47"/>
    </row>
    <row r="28" spans="1:16" ht="18.75" hidden="1" x14ac:dyDescent="0.25">
      <c r="A28" s="40"/>
      <c r="B28" s="41"/>
      <c r="C28" s="41"/>
      <c r="D28" s="41"/>
      <c r="E28" s="279" t="s">
        <v>18</v>
      </c>
      <c r="F28" s="41"/>
      <c r="G28" s="43"/>
      <c r="H28" s="49" t="s">
        <v>12</v>
      </c>
      <c r="I28" s="45"/>
      <c r="J28" s="45"/>
      <c r="K28" s="46"/>
      <c r="L28" s="50"/>
      <c r="M28" s="50"/>
      <c r="N28" s="50"/>
      <c r="O28" s="50"/>
      <c r="P28" s="50"/>
    </row>
    <row r="29" spans="1:16" ht="18.75" hidden="1" x14ac:dyDescent="0.25">
      <c r="A29" s="52"/>
      <c r="B29" s="1"/>
      <c r="C29" s="1"/>
      <c r="D29" s="1"/>
      <c r="E29" s="53" t="s">
        <v>19</v>
      </c>
      <c r="F29" s="1"/>
      <c r="G29" s="54"/>
      <c r="H29" s="55" t="s">
        <v>12</v>
      </c>
      <c r="I29" s="56"/>
      <c r="J29" s="56"/>
      <c r="K29" s="57"/>
      <c r="L29" s="58"/>
      <c r="M29" s="58"/>
      <c r="N29" s="58"/>
      <c r="O29" s="58"/>
      <c r="P29" s="58"/>
    </row>
    <row r="30" spans="1:16" ht="12.75" hidden="1" x14ac:dyDescent="0.2">
      <c r="A30" s="381"/>
      <c r="B30" s="379"/>
      <c r="C30" s="379"/>
      <c r="D30" s="379"/>
      <c r="E30" s="379"/>
      <c r="F30" s="379"/>
      <c r="G30" s="380"/>
      <c r="H30" s="12"/>
      <c r="I30" s="13"/>
      <c r="J30" s="13"/>
      <c r="K30" s="14"/>
      <c r="L30" s="14"/>
      <c r="M30" s="14"/>
      <c r="N30" s="14"/>
      <c r="O30" s="14"/>
      <c r="P30" s="14"/>
    </row>
    <row r="31" spans="1:16" ht="12.75" hidden="1" x14ac:dyDescent="0.2">
      <c r="A31" s="15"/>
      <c r="B31" s="16"/>
      <c r="C31" s="16"/>
      <c r="D31" s="16"/>
      <c r="E31" s="16"/>
      <c r="F31" s="16"/>
      <c r="G31" s="17"/>
      <c r="H31" s="17"/>
      <c r="I31" s="18"/>
      <c r="J31" s="18"/>
      <c r="K31" s="19"/>
      <c r="L31" s="19"/>
      <c r="M31" s="19"/>
      <c r="N31" s="19"/>
      <c r="O31" s="19"/>
      <c r="P31" s="19"/>
    </row>
    <row r="32" spans="1:16" ht="12.75" hidden="1" x14ac:dyDescent="0.2">
      <c r="A32" s="15"/>
      <c r="B32" s="16"/>
      <c r="C32" s="16"/>
      <c r="D32" s="16"/>
      <c r="E32" s="16"/>
      <c r="F32" s="16"/>
      <c r="G32" s="17"/>
      <c r="H32" s="17"/>
      <c r="I32" s="18"/>
      <c r="J32" s="18"/>
      <c r="K32" s="19"/>
      <c r="L32" s="19"/>
      <c r="M32" s="19"/>
      <c r="N32" s="19"/>
      <c r="O32" s="19"/>
      <c r="P32" s="19"/>
    </row>
    <row r="33" spans="1:16" ht="12.75" hidden="1" x14ac:dyDescent="0.2">
      <c r="A33" s="15"/>
      <c r="B33" s="16"/>
      <c r="C33" s="16"/>
      <c r="D33" s="16"/>
      <c r="E33" s="16"/>
      <c r="F33" s="16"/>
      <c r="G33" s="17"/>
      <c r="H33" s="17"/>
      <c r="I33" s="18"/>
      <c r="J33" s="18"/>
      <c r="K33" s="19"/>
      <c r="L33" s="19"/>
      <c r="M33" s="19"/>
      <c r="N33" s="19"/>
      <c r="O33" s="19"/>
      <c r="P33" s="19"/>
    </row>
    <row r="34" spans="1:16" ht="12.75" hidden="1" x14ac:dyDescent="0.2">
      <c r="A34" s="15"/>
      <c r="B34" s="16"/>
      <c r="C34" s="16"/>
      <c r="D34" s="16"/>
      <c r="E34" s="16"/>
      <c r="F34" s="16"/>
      <c r="G34" s="17"/>
      <c r="H34" s="17"/>
      <c r="I34" s="18"/>
      <c r="J34" s="18"/>
      <c r="K34" s="19"/>
      <c r="L34" s="19"/>
      <c r="M34" s="19"/>
      <c r="N34" s="19"/>
      <c r="O34" s="19"/>
      <c r="P34" s="19"/>
    </row>
    <row r="35" spans="1:16" ht="12.75" hidden="1" x14ac:dyDescent="0.2">
      <c r="A35" s="15"/>
      <c r="B35" s="16"/>
      <c r="C35" s="16"/>
      <c r="D35" s="16"/>
      <c r="E35" s="16"/>
      <c r="F35" s="16"/>
      <c r="G35" s="17"/>
      <c r="H35" s="17"/>
      <c r="I35" s="18"/>
      <c r="J35" s="18"/>
      <c r="K35" s="19"/>
      <c r="L35" s="19"/>
      <c r="M35" s="19"/>
      <c r="N35" s="19"/>
      <c r="O35" s="19"/>
      <c r="P35" s="19"/>
    </row>
    <row r="36" spans="1:16" ht="12.75" hidden="1" x14ac:dyDescent="0.2">
      <c r="A36" s="15"/>
      <c r="B36" s="16"/>
      <c r="C36" s="16"/>
      <c r="D36" s="16"/>
      <c r="E36" s="16"/>
      <c r="F36" s="16"/>
      <c r="G36" s="17"/>
      <c r="H36" s="17"/>
      <c r="I36" s="18"/>
      <c r="J36" s="18"/>
      <c r="K36" s="19"/>
      <c r="L36" s="19"/>
      <c r="M36" s="19"/>
      <c r="N36" s="19"/>
      <c r="O36" s="19"/>
      <c r="P36" s="19"/>
    </row>
    <row r="37" spans="1:16" ht="12.75" hidden="1" x14ac:dyDescent="0.2">
      <c r="A37" s="15"/>
      <c r="B37" s="16"/>
      <c r="C37" s="16"/>
      <c r="D37" s="16"/>
      <c r="E37" s="16"/>
      <c r="F37" s="16"/>
      <c r="G37" s="17"/>
      <c r="H37" s="17"/>
      <c r="I37" s="18"/>
      <c r="J37" s="18"/>
      <c r="K37" s="19"/>
      <c r="L37" s="19"/>
      <c r="M37" s="19"/>
      <c r="N37" s="19"/>
      <c r="O37" s="19"/>
      <c r="P37" s="19"/>
    </row>
    <row r="38" spans="1:16" ht="12.75" hidden="1" x14ac:dyDescent="0.2">
      <c r="A38" s="15"/>
      <c r="B38" s="16"/>
      <c r="C38" s="16"/>
      <c r="D38" s="16"/>
      <c r="E38" s="16"/>
      <c r="F38" s="16"/>
      <c r="G38" s="17"/>
      <c r="H38" s="17"/>
      <c r="I38" s="18"/>
      <c r="J38" s="18"/>
      <c r="K38" s="19"/>
      <c r="L38" s="19"/>
      <c r="M38" s="19"/>
      <c r="N38" s="19"/>
      <c r="O38" s="19"/>
      <c r="P38" s="19"/>
    </row>
    <row r="39" spans="1:16" ht="12.75" hidden="1" x14ac:dyDescent="0.2">
      <c r="A39" s="20"/>
      <c r="B39" s="21"/>
      <c r="C39" s="21"/>
      <c r="D39" s="21"/>
      <c r="E39" s="21"/>
      <c r="F39" s="21"/>
      <c r="G39" s="12"/>
      <c r="H39" s="12"/>
      <c r="I39" s="13"/>
      <c r="J39" s="13"/>
      <c r="K39" s="14"/>
      <c r="L39" s="14"/>
      <c r="M39" s="14"/>
      <c r="N39" s="14"/>
      <c r="O39" s="14"/>
      <c r="P39" s="14"/>
    </row>
    <row r="40" spans="1:16" ht="19.5" hidden="1" x14ac:dyDescent="0.3">
      <c r="A40" s="59" t="s">
        <v>23</v>
      </c>
      <c r="B40" s="60"/>
      <c r="C40" s="60"/>
      <c r="D40" s="60"/>
      <c r="E40" s="60"/>
      <c r="F40" s="60"/>
      <c r="G40" s="61"/>
      <c r="H40" s="61"/>
      <c r="I40" s="62"/>
      <c r="J40" s="62"/>
      <c r="K40" s="63"/>
      <c r="L40" s="64">
        <f ca="1">L44+L59+L72+L94+L125+L139+L157+L173+L186+L266+L282+L303+L320+L333+L356</f>
        <v>2260740</v>
      </c>
      <c r="M40" s="64">
        <f ca="1">M44+M59+M72+M94+M125+M139+M157+M173+M186+M266+M282+M303+M320+M333+M356</f>
        <v>1913720</v>
      </c>
      <c r="N40" s="64">
        <f ca="1">N44+N59+N72+N94+N125+N139+N157+N173+N186+N266+N282+N303+N320+N333+N356</f>
        <v>407249.73</v>
      </c>
      <c r="O40" s="64">
        <f ca="1">IF(L40&gt;0,N40*100/L40,0)</f>
        <v>18.014001167759229</v>
      </c>
      <c r="P40" s="64">
        <f ca="1">IF(M40&gt;0,N40*100/M40,0)</f>
        <v>21.280528499467007</v>
      </c>
    </row>
    <row r="41" spans="1:16" ht="19.5" x14ac:dyDescent="0.3">
      <c r="A41" s="65" t="s">
        <v>24</v>
      </c>
      <c r="B41" s="66"/>
      <c r="C41" s="66"/>
      <c r="D41" s="66"/>
      <c r="E41" s="66"/>
      <c r="F41" s="66"/>
      <c r="G41" s="66"/>
      <c r="H41" s="66"/>
      <c r="I41" s="67"/>
      <c r="J41" s="67"/>
      <c r="K41" s="68"/>
      <c r="L41" s="68"/>
      <c r="M41" s="68"/>
      <c r="N41" s="68"/>
      <c r="O41" s="68"/>
      <c r="P41" s="69"/>
    </row>
    <row r="42" spans="1:16" ht="19.5" x14ac:dyDescent="0.3">
      <c r="A42" s="70"/>
      <c r="B42" s="71" t="s">
        <v>25</v>
      </c>
      <c r="C42" s="70"/>
      <c r="D42" s="70"/>
      <c r="E42" s="70"/>
      <c r="F42" s="70"/>
      <c r="G42" s="72"/>
      <c r="H42" s="72"/>
      <c r="I42" s="73"/>
      <c r="J42" s="73"/>
      <c r="K42" s="74"/>
      <c r="L42" s="74"/>
      <c r="M42" s="74"/>
      <c r="N42" s="74"/>
      <c r="O42" s="74"/>
      <c r="P42" s="74"/>
    </row>
    <row r="43" spans="1:16" ht="12.75" hidden="1" x14ac:dyDescent="0.2">
      <c r="A43" s="15"/>
      <c r="B43" s="16"/>
      <c r="C43" s="16"/>
      <c r="D43" s="16"/>
      <c r="E43" s="16"/>
      <c r="F43" s="16"/>
      <c r="G43" s="17"/>
      <c r="H43" s="17"/>
      <c r="I43" s="18"/>
      <c r="J43" s="18"/>
      <c r="K43" s="19"/>
      <c r="L43" s="19"/>
      <c r="M43" s="19"/>
      <c r="N43" s="19"/>
      <c r="O43" s="19"/>
      <c r="P43" s="19"/>
    </row>
    <row r="44" spans="1:16" ht="19.5" x14ac:dyDescent="0.3">
      <c r="A44" s="75"/>
      <c r="B44" s="76"/>
      <c r="C44" s="77" t="s">
        <v>16</v>
      </c>
      <c r="D44" s="404" t="s">
        <v>17</v>
      </c>
      <c r="E44" s="76"/>
      <c r="F44" s="76"/>
      <c r="G44" s="79"/>
      <c r="H44" s="80" t="s">
        <v>12</v>
      </c>
      <c r="I44" s="81"/>
      <c r="J44" s="81"/>
      <c r="K44" s="82"/>
      <c r="L44" s="83">
        <f ca="1">L45+L46</f>
        <v>261550</v>
      </c>
      <c r="M44" s="83">
        <f ca="1">M45+M46</f>
        <v>261550</v>
      </c>
      <c r="N44" s="83">
        <f ca="1">N45+N46</f>
        <v>154050</v>
      </c>
      <c r="O44" s="83">
        <f ca="1">IF(L44&gt;0,N44*100/L44,0)</f>
        <v>58.898872108583447</v>
      </c>
      <c r="P44" s="83">
        <f ca="1">IF(M44&gt;0,N44*100/M44,0)</f>
        <v>58.898872108583447</v>
      </c>
    </row>
    <row r="45" spans="1:16" ht="18.75" hidden="1" x14ac:dyDescent="0.25">
      <c r="A45" s="75"/>
      <c r="B45" s="76"/>
      <c r="C45" s="76"/>
      <c r="D45" s="76"/>
      <c r="E45" s="84" t="s">
        <v>18</v>
      </c>
      <c r="F45" s="76"/>
      <c r="G45" s="79"/>
      <c r="H45" s="85" t="s">
        <v>12</v>
      </c>
      <c r="I45" s="81"/>
      <c r="J45" s="81"/>
      <c r="K45" s="82"/>
      <c r="L45" s="86">
        <f>L48+L51</f>
        <v>0</v>
      </c>
      <c r="M45" s="86">
        <f>M48+M51</f>
        <v>0</v>
      </c>
      <c r="N45" s="86">
        <f>N48+N51</f>
        <v>0</v>
      </c>
      <c r="O45" s="86">
        <f>IF(L45&gt;0,N45*100/L45,0)</f>
        <v>0</v>
      </c>
      <c r="P45" s="86">
        <f>IF(M45&gt;0,N45*100/M45,0)</f>
        <v>0</v>
      </c>
    </row>
    <row r="46" spans="1:16" ht="18.75" x14ac:dyDescent="0.25">
      <c r="A46" s="75"/>
      <c r="B46" s="76"/>
      <c r="C46" s="76"/>
      <c r="D46" s="76"/>
      <c r="E46" s="87" t="s">
        <v>19</v>
      </c>
      <c r="F46" s="76"/>
      <c r="G46" s="79"/>
      <c r="H46" s="88" t="s">
        <v>12</v>
      </c>
      <c r="I46" s="81"/>
      <c r="J46" s="81"/>
      <c r="K46" s="82"/>
      <c r="L46" s="89">
        <f ca="1">L49+L52</f>
        <v>261550</v>
      </c>
      <c r="M46" s="89">
        <f ca="1">M49+M52</f>
        <v>261550</v>
      </c>
      <c r="N46" s="89">
        <f ca="1">N49+N52</f>
        <v>154050</v>
      </c>
      <c r="O46" s="89">
        <f ca="1">IF(L46&gt;0,N46*100/L46,0)</f>
        <v>58.898872108583447</v>
      </c>
      <c r="P46" s="89">
        <f ca="1">IF(M46&gt;0,N46*100/M46,0)</f>
        <v>58.898872108583447</v>
      </c>
    </row>
    <row r="47" spans="1:16" ht="18.75" x14ac:dyDescent="0.25">
      <c r="A47" s="40"/>
      <c r="B47" s="41"/>
      <c r="C47" s="41"/>
      <c r="D47" s="42" t="s">
        <v>20</v>
      </c>
      <c r="E47" s="41"/>
      <c r="F47" s="41"/>
      <c r="G47" s="43"/>
      <c r="H47" s="44" t="s">
        <v>12</v>
      </c>
      <c r="I47" s="45"/>
      <c r="J47" s="45"/>
      <c r="K47" s="46"/>
      <c r="L47" s="47">
        <f ca="1">L48+L49</f>
        <v>261550</v>
      </c>
      <c r="M47" s="47">
        <f ca="1">M48+M49</f>
        <v>261550</v>
      </c>
      <c r="N47" s="47">
        <f ca="1">N48+N49</f>
        <v>154050</v>
      </c>
      <c r="O47" s="47">
        <f ca="1">IF(L47&gt;0,N47*100/L47,0)</f>
        <v>58.898872108583447</v>
      </c>
      <c r="P47" s="47">
        <f ca="1">IF(M47&gt;0,N47*100/M47,0)</f>
        <v>58.898872108583447</v>
      </c>
    </row>
    <row r="48" spans="1:16" ht="18.75" hidden="1" x14ac:dyDescent="0.25">
      <c r="A48" s="40"/>
      <c r="B48" s="41"/>
      <c r="C48" s="41"/>
      <c r="D48" s="41"/>
      <c r="E48" s="279" t="s">
        <v>18</v>
      </c>
      <c r="F48" s="41"/>
      <c r="G48" s="43"/>
      <c r="H48" s="49" t="s">
        <v>12</v>
      </c>
      <c r="I48" s="45"/>
      <c r="J48" s="45"/>
      <c r="K48" s="46"/>
      <c r="L48" s="50">
        <v>0</v>
      </c>
      <c r="M48" s="50">
        <v>0</v>
      </c>
      <c r="N48" s="50">
        <v>0</v>
      </c>
      <c r="O48" s="50">
        <f>IF(L48&gt;0,N48*100/L48,0)</f>
        <v>0</v>
      </c>
      <c r="P48" s="50">
        <f>IF(M48&gt;0,N48*100/M48,0)</f>
        <v>0</v>
      </c>
    </row>
    <row r="49" spans="1:16" ht="18.75" x14ac:dyDescent="0.25">
      <c r="A49" s="40"/>
      <c r="B49" s="41"/>
      <c r="C49" s="41"/>
      <c r="D49" s="41"/>
      <c r="E49" s="254" t="s">
        <v>19</v>
      </c>
      <c r="F49" s="41"/>
      <c r="G49" s="43"/>
      <c r="H49" s="44" t="s">
        <v>12</v>
      </c>
      <c r="I49" s="45"/>
      <c r="J49" s="45"/>
      <c r="K49" s="46"/>
      <c r="L49" s="47">
        <f ca="1">IFERROR(__xludf.DUMMYFUNCTION("IMPORTRANGE(""https://docs.google.com/spreadsheets/d/1-uDff_7J0KD5mKrp0Vvzr7lt3OU09vwQwhkpOPPYv2Y/edit?usp=sharing"",""งบพรบ!P20"")"),261550)</f>
        <v>261550</v>
      </c>
      <c r="M49" s="47">
        <f ca="1">IFERROR(__xludf.DUMMYFUNCTION("IMPORTRANGE(""https://docs.google.com/spreadsheets/d/1-uDff_7J0KD5mKrp0Vvzr7lt3OU09vwQwhkpOPPYv2Y/edit?usp=sharing"",""งบพรบ!V20"")"),261550)</f>
        <v>261550</v>
      </c>
      <c r="N49" s="47">
        <f ca="1">IFERROR(__xludf.DUMMYFUNCTION("IMPORTRANGE(""https://docs.google.com/spreadsheets/d/1-uDff_7J0KD5mKrp0Vvzr7lt3OU09vwQwhkpOPPYv2Y/edit?usp=sharing"",""งบพรบ!Y20"")"),154050)</f>
        <v>154050</v>
      </c>
      <c r="O49" s="47">
        <f ca="1">IF(L49&gt;0,N49*100/L49,0)</f>
        <v>58.898872108583447</v>
      </c>
      <c r="P49" s="47">
        <f ca="1">IF(M49&gt;0,N49*100/M49,0)</f>
        <v>58.898872108583447</v>
      </c>
    </row>
    <row r="50" spans="1:16" ht="18.75" x14ac:dyDescent="0.25">
      <c r="A50" s="40"/>
      <c r="B50" s="41"/>
      <c r="C50" s="41"/>
      <c r="D50" s="42" t="s">
        <v>21</v>
      </c>
      <c r="E50" s="41"/>
      <c r="F50" s="41"/>
      <c r="G50" s="43"/>
      <c r="H50" s="44" t="s">
        <v>12</v>
      </c>
      <c r="I50" s="45"/>
      <c r="J50" s="45"/>
      <c r="K50" s="46"/>
      <c r="L50" s="47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</row>
    <row r="51" spans="1:16" ht="18.75" hidden="1" x14ac:dyDescent="0.25">
      <c r="A51" s="40"/>
      <c r="B51" s="41"/>
      <c r="C51" s="41"/>
      <c r="D51" s="41"/>
      <c r="E51" s="279" t="s">
        <v>18</v>
      </c>
      <c r="F51" s="41"/>
      <c r="G51" s="43"/>
      <c r="H51" s="49" t="s">
        <v>12</v>
      </c>
      <c r="I51" s="45"/>
      <c r="J51" s="45"/>
      <c r="K51" s="46"/>
      <c r="L51" s="50">
        <v>0</v>
      </c>
      <c r="M51" s="50">
        <v>0</v>
      </c>
      <c r="N51" s="50">
        <v>0</v>
      </c>
      <c r="O51" s="50">
        <f>IF(L51&gt;0,N51*100/L51,0)</f>
        <v>0</v>
      </c>
      <c r="P51" s="50">
        <f>IF(M51&gt;0,N51*100/M51,0)</f>
        <v>0</v>
      </c>
    </row>
    <row r="52" spans="1:16" ht="18.75" x14ac:dyDescent="0.25">
      <c r="A52" s="40"/>
      <c r="B52" s="41"/>
      <c r="C52" s="41"/>
      <c r="D52" s="41"/>
      <c r="E52" s="254" t="s">
        <v>19</v>
      </c>
      <c r="F52" s="41"/>
      <c r="G52" s="43"/>
      <c r="H52" s="44" t="s">
        <v>12</v>
      </c>
      <c r="I52" s="45"/>
      <c r="J52" s="45"/>
      <c r="K52" s="46"/>
      <c r="L52" s="47">
        <f ca="1">IFERROR(__xludf.DUMMYFUNCTION("IMPORTRANGE(""https://docs.google.com/spreadsheets/d/1-uDff_7J0KD5mKrp0Vvzr7lt3OU09vwQwhkpOPPYv2Y/edit?usp=sharing"",""งบพรบ!S20"")"),0)</f>
        <v>0</v>
      </c>
      <c r="M52" s="47">
        <f ca="1">IFERROR(__xludf.DUMMYFUNCTION("IMPORTRANGE(""https://docs.google.com/spreadsheets/d/1-uDff_7J0KD5mKrp0Vvzr7lt3OU09vwQwhkpOPPYv2Y/edit?usp=sharing"",""งบพรบ!W20"")"),0)</f>
        <v>0</v>
      </c>
      <c r="N52" s="47">
        <f ca="1">IFERROR(__xludf.DUMMYFUNCTION("IMPORTRANGE(""https://docs.google.com/spreadsheets/d/1-uDff_7J0KD5mKrp0Vvzr7lt3OU09vwQwhkpOPPYv2Y/edit?usp=sharing"",""งบพรบ!Z20"")"),0)</f>
        <v>0</v>
      </c>
      <c r="O52" s="47">
        <f ca="1">IF(L52&gt;0,N52*100/L52,0)</f>
        <v>0</v>
      </c>
      <c r="P52" s="47">
        <f ca="1">IF(M52&gt;0,N52*100/M52,0)</f>
        <v>0</v>
      </c>
    </row>
    <row r="53" spans="1:16" ht="18.75" hidden="1" x14ac:dyDescent="0.25">
      <c r="A53" s="40"/>
      <c r="B53" s="41"/>
      <c r="C53" s="41"/>
      <c r="D53" s="42" t="s">
        <v>22</v>
      </c>
      <c r="E53" s="41"/>
      <c r="F53" s="41"/>
      <c r="G53" s="43"/>
      <c r="H53" s="44" t="s">
        <v>12</v>
      </c>
      <c r="I53" s="45"/>
      <c r="J53" s="45"/>
      <c r="K53" s="46"/>
      <c r="L53" s="47"/>
      <c r="M53" s="47"/>
      <c r="N53" s="47"/>
      <c r="O53" s="47"/>
      <c r="P53" s="47"/>
    </row>
    <row r="54" spans="1:16" ht="18.75" hidden="1" x14ac:dyDescent="0.25">
      <c r="A54" s="40"/>
      <c r="B54" s="41"/>
      <c r="C54" s="41"/>
      <c r="D54" s="41"/>
      <c r="E54" s="279" t="s">
        <v>18</v>
      </c>
      <c r="F54" s="41"/>
      <c r="G54" s="43"/>
      <c r="H54" s="49" t="s">
        <v>12</v>
      </c>
      <c r="I54" s="45"/>
      <c r="J54" s="45"/>
      <c r="K54" s="46"/>
      <c r="L54" s="50"/>
      <c r="M54" s="50"/>
      <c r="N54" s="50"/>
      <c r="O54" s="50"/>
      <c r="P54" s="50"/>
    </row>
    <row r="55" spans="1:16" ht="18.75" hidden="1" x14ac:dyDescent="0.25">
      <c r="A55" s="52"/>
      <c r="B55" s="1"/>
      <c r="C55" s="1"/>
      <c r="D55" s="1"/>
      <c r="E55" s="53" t="s">
        <v>19</v>
      </c>
      <c r="F55" s="1"/>
      <c r="G55" s="54"/>
      <c r="H55" s="55" t="s">
        <v>12</v>
      </c>
      <c r="I55" s="56"/>
      <c r="J55" s="56"/>
      <c r="K55" s="57"/>
      <c r="L55" s="58"/>
      <c r="M55" s="58"/>
      <c r="N55" s="58"/>
      <c r="O55" s="58"/>
      <c r="P55" s="58"/>
    </row>
    <row r="56" spans="1:16" ht="19.5" x14ac:dyDescent="0.3">
      <c r="A56" s="382" t="s">
        <v>26</v>
      </c>
      <c r="B56" s="379"/>
      <c r="C56" s="379"/>
      <c r="D56" s="379"/>
      <c r="E56" s="379"/>
      <c r="F56" s="379"/>
      <c r="G56" s="380"/>
      <c r="H56" s="90"/>
      <c r="I56" s="91"/>
      <c r="J56" s="91"/>
      <c r="K56" s="92"/>
      <c r="L56" s="92"/>
      <c r="M56" s="92"/>
      <c r="N56" s="92"/>
      <c r="O56" s="92"/>
      <c r="P56" s="93"/>
    </row>
    <row r="57" spans="1:16" ht="19.5" x14ac:dyDescent="0.3">
      <c r="A57" s="94"/>
      <c r="B57" s="383" t="s">
        <v>27</v>
      </c>
      <c r="C57" s="384"/>
      <c r="D57" s="384"/>
      <c r="E57" s="384"/>
      <c r="F57" s="384"/>
      <c r="G57" s="385"/>
      <c r="H57" s="95"/>
      <c r="I57" s="96"/>
      <c r="J57" s="96"/>
      <c r="K57" s="97"/>
      <c r="L57" s="97"/>
      <c r="M57" s="97"/>
      <c r="N57" s="97"/>
      <c r="O57" s="97"/>
      <c r="P57" s="97"/>
    </row>
    <row r="58" spans="1:16" ht="19.5" x14ac:dyDescent="0.3">
      <c r="A58" s="98"/>
      <c r="B58" s="99" t="s">
        <v>28</v>
      </c>
      <c r="C58" s="100"/>
      <c r="D58" s="100"/>
      <c r="E58" s="100"/>
      <c r="F58" s="100"/>
      <c r="G58" s="101"/>
      <c r="H58" s="101"/>
      <c r="I58" s="102"/>
      <c r="J58" s="102"/>
      <c r="K58" s="103"/>
      <c r="L58" s="103"/>
      <c r="M58" s="103"/>
      <c r="N58" s="103"/>
      <c r="O58" s="103"/>
      <c r="P58" s="103"/>
    </row>
    <row r="59" spans="1:16" ht="19.5" x14ac:dyDescent="0.3">
      <c r="A59" s="104"/>
      <c r="B59" s="105"/>
      <c r="C59" s="106" t="s">
        <v>16</v>
      </c>
      <c r="D59" s="403" t="s">
        <v>17</v>
      </c>
      <c r="E59" s="105"/>
      <c r="F59" s="105"/>
      <c r="G59" s="108"/>
      <c r="H59" s="109" t="s">
        <v>12</v>
      </c>
      <c r="I59" s="110"/>
      <c r="J59" s="110"/>
      <c r="K59" s="111"/>
      <c r="L59" s="112">
        <f ca="1">L60+L61</f>
        <v>424100</v>
      </c>
      <c r="M59" s="112">
        <f ca="1">M60+M61</f>
        <v>320350</v>
      </c>
      <c r="N59" s="112">
        <f ca="1">N60+N61</f>
        <v>53352.73</v>
      </c>
      <c r="O59" s="112">
        <f ca="1">IF(L59&gt;0,N59*100/L59,0)</f>
        <v>12.580224003772695</v>
      </c>
      <c r="P59" s="112">
        <f ca="1">IF(M59&gt;0,N59*100/M59,0)</f>
        <v>16.65451225222413</v>
      </c>
    </row>
    <row r="60" spans="1:16" ht="18.75" hidden="1" x14ac:dyDescent="0.25">
      <c r="A60" s="104"/>
      <c r="B60" s="105"/>
      <c r="C60" s="105"/>
      <c r="D60" s="105"/>
      <c r="E60" s="113" t="s">
        <v>18</v>
      </c>
      <c r="F60" s="105"/>
      <c r="G60" s="108"/>
      <c r="H60" s="114" t="s">
        <v>12</v>
      </c>
      <c r="I60" s="110"/>
      <c r="J60" s="110"/>
      <c r="K60" s="111"/>
      <c r="L60" s="115">
        <f>L63+L66</f>
        <v>0</v>
      </c>
      <c r="M60" s="115">
        <f>M63+M66</f>
        <v>0</v>
      </c>
      <c r="N60" s="115">
        <f>N63+N66</f>
        <v>0</v>
      </c>
      <c r="O60" s="115">
        <f>IF(L60&gt;0,N60*100/L60,0)</f>
        <v>0</v>
      </c>
      <c r="P60" s="115">
        <f>IF(M60&gt;0,N60*100/M60,0)</f>
        <v>0</v>
      </c>
    </row>
    <row r="61" spans="1:16" ht="18.75" x14ac:dyDescent="0.25">
      <c r="A61" s="104"/>
      <c r="B61" s="105"/>
      <c r="C61" s="105"/>
      <c r="D61" s="105"/>
      <c r="E61" s="116" t="s">
        <v>19</v>
      </c>
      <c r="F61" s="105"/>
      <c r="G61" s="108"/>
      <c r="H61" s="117" t="s">
        <v>12</v>
      </c>
      <c r="I61" s="110"/>
      <c r="J61" s="110"/>
      <c r="K61" s="111"/>
      <c r="L61" s="118">
        <f ca="1">L64+L67</f>
        <v>424100</v>
      </c>
      <c r="M61" s="118">
        <f ca="1">M64+M67</f>
        <v>320350</v>
      </c>
      <c r="N61" s="118">
        <f ca="1">N64+N67</f>
        <v>53352.73</v>
      </c>
      <c r="O61" s="118">
        <f ca="1">IF(L61&gt;0,N61*100/L61,0)</f>
        <v>12.580224003772695</v>
      </c>
      <c r="P61" s="118">
        <f ca="1">IF(M61&gt;0,N61*100/M61,0)</f>
        <v>16.65451225222413</v>
      </c>
    </row>
    <row r="62" spans="1:16" ht="18.75" x14ac:dyDescent="0.25">
      <c r="A62" s="40"/>
      <c r="B62" s="41"/>
      <c r="C62" s="41"/>
      <c r="D62" s="42" t="s">
        <v>20</v>
      </c>
      <c r="E62" s="41"/>
      <c r="F62" s="41"/>
      <c r="G62" s="43"/>
      <c r="H62" s="44" t="s">
        <v>12</v>
      </c>
      <c r="I62" s="45"/>
      <c r="J62" s="45"/>
      <c r="K62" s="46"/>
      <c r="L62" s="47">
        <f ca="1">L63+L64</f>
        <v>424100</v>
      </c>
      <c r="M62" s="47">
        <f ca="1">M63+M64</f>
        <v>320350</v>
      </c>
      <c r="N62" s="47">
        <f ca="1">N63+N64</f>
        <v>53352.73</v>
      </c>
      <c r="O62" s="47">
        <f ca="1">IF(L62&gt;0,N62*100/L62,0)</f>
        <v>12.580224003772695</v>
      </c>
      <c r="P62" s="47">
        <f ca="1">IF(M62&gt;0,N62*100/M62,0)</f>
        <v>16.65451225222413</v>
      </c>
    </row>
    <row r="63" spans="1:16" ht="18.75" hidden="1" x14ac:dyDescent="0.25">
      <c r="A63" s="40"/>
      <c r="B63" s="41"/>
      <c r="C63" s="41"/>
      <c r="D63" s="41"/>
      <c r="E63" s="279" t="s">
        <v>18</v>
      </c>
      <c r="F63" s="41"/>
      <c r="G63" s="43"/>
      <c r="H63" s="49" t="s">
        <v>12</v>
      </c>
      <c r="I63" s="45"/>
      <c r="J63" s="45"/>
      <c r="K63" s="46"/>
      <c r="L63" s="50">
        <v>0</v>
      </c>
      <c r="M63" s="50">
        <v>0</v>
      </c>
      <c r="N63" s="50">
        <v>0</v>
      </c>
      <c r="O63" s="50">
        <f>IF(L63&gt;0,N63*100/L63,0)</f>
        <v>0</v>
      </c>
      <c r="P63" s="50">
        <f>IF(M63&gt;0,N63*100/M63,0)</f>
        <v>0</v>
      </c>
    </row>
    <row r="64" spans="1:16" ht="18.75" x14ac:dyDescent="0.25">
      <c r="A64" s="40"/>
      <c r="B64" s="41"/>
      <c r="C64" s="41"/>
      <c r="D64" s="41"/>
      <c r="E64" s="254" t="s">
        <v>19</v>
      </c>
      <c r="F64" s="41"/>
      <c r="G64" s="43"/>
      <c r="H64" s="44" t="s">
        <v>12</v>
      </c>
      <c r="I64" s="45"/>
      <c r="J64" s="45"/>
      <c r="K64" s="46"/>
      <c r="L64" s="47">
        <f ca="1">IFERROR(__xludf.DUMMYFUNCTION("IMPORTRANGE(""https://docs.google.com/spreadsheets/d/1-uDff_7J0KD5mKrp0Vvzr7lt3OU09vwQwhkpOPPYv2Y/edit?usp=sharing"",""งบพรบ!AC20"")"),424100)</f>
        <v>424100</v>
      </c>
      <c r="M64" s="47">
        <f ca="1">IFERROR(__xludf.DUMMYFUNCTION("IMPORTRANGE(""https://docs.google.com/spreadsheets/d/1-uDff_7J0KD5mKrp0Vvzr7lt3OU09vwQwhkpOPPYv2Y/edit?usp=sharing"",""งบพรบ!AH20"")"),320350)</f>
        <v>320350</v>
      </c>
      <c r="N64" s="47">
        <f ca="1">IFERROR(__xludf.DUMMYFUNCTION("IMPORTRANGE(""https://docs.google.com/spreadsheets/d/1-uDff_7J0KD5mKrp0Vvzr7lt3OU09vwQwhkpOPPYv2Y/edit?usp=sharing"",""งบพรบ!AJ20"")"),53352.73)</f>
        <v>53352.73</v>
      </c>
      <c r="O64" s="47">
        <f ca="1">IF(L64&gt;0,N64*100/L64,0)</f>
        <v>12.580224003772695</v>
      </c>
      <c r="P64" s="47">
        <f ca="1">IF(M64&gt;0,N64*100/M64,0)</f>
        <v>16.65451225222413</v>
      </c>
    </row>
    <row r="65" spans="1:16" ht="18.75" x14ac:dyDescent="0.25">
      <c r="A65" s="40"/>
      <c r="B65" s="41"/>
      <c r="C65" s="41"/>
      <c r="D65" s="42" t="s">
        <v>21</v>
      </c>
      <c r="E65" s="41"/>
      <c r="F65" s="41"/>
      <c r="G65" s="43"/>
      <c r="H65" s="44" t="s">
        <v>12</v>
      </c>
      <c r="I65" s="45"/>
      <c r="J65" s="45"/>
      <c r="K65" s="46"/>
      <c r="L65" s="47">
        <f ca="1">L66+L67</f>
        <v>0</v>
      </c>
      <c r="M65" s="47">
        <f ca="1">M66+M67</f>
        <v>0</v>
      </c>
      <c r="N65" s="47">
        <f ca="1">N66+N67</f>
        <v>0</v>
      </c>
      <c r="O65" s="47">
        <f ca="1">IF(L65&gt;0,N65*100/L65,0)</f>
        <v>0</v>
      </c>
      <c r="P65" s="47">
        <f ca="1">IF(M65&gt;0,N65*100/M65,0)</f>
        <v>0</v>
      </c>
    </row>
    <row r="66" spans="1:16" ht="18.75" hidden="1" x14ac:dyDescent="0.25">
      <c r="A66" s="40"/>
      <c r="B66" s="41"/>
      <c r="C66" s="41"/>
      <c r="D66" s="41"/>
      <c r="E66" s="279" t="s">
        <v>18</v>
      </c>
      <c r="F66" s="41"/>
      <c r="G66" s="43"/>
      <c r="H66" s="49" t="s">
        <v>12</v>
      </c>
      <c r="I66" s="45"/>
      <c r="J66" s="45"/>
      <c r="K66" s="46"/>
      <c r="L66" s="50">
        <v>0</v>
      </c>
      <c r="M66" s="50">
        <v>0</v>
      </c>
      <c r="N66" s="50">
        <v>0</v>
      </c>
      <c r="O66" s="50">
        <f>IF(L66&gt;0,N66*100/L66,0)</f>
        <v>0</v>
      </c>
      <c r="P66" s="50">
        <f>IF(M66&gt;0,N66*100/M66,0)</f>
        <v>0</v>
      </c>
    </row>
    <row r="67" spans="1:16" ht="18.75" x14ac:dyDescent="0.25">
      <c r="A67" s="52"/>
      <c r="B67" s="1"/>
      <c r="C67" s="1"/>
      <c r="D67" s="1"/>
      <c r="E67" s="53" t="s">
        <v>19</v>
      </c>
      <c r="F67" s="1"/>
      <c r="G67" s="54"/>
      <c r="H67" s="55" t="s">
        <v>12</v>
      </c>
      <c r="I67" s="56"/>
      <c r="J67" s="56"/>
      <c r="K67" s="57"/>
      <c r="L67" s="58">
        <f ca="1">IFERROR(__xludf.DUMMYFUNCTION("IMPORTRANGE(""https://docs.google.com/spreadsheets/d/1-uDff_7J0KD5mKrp0Vvzr7lt3OU09vwQwhkpOPPYv2Y/edit?usp=sharing"",""งบพรบ!AF20"")"),0)</f>
        <v>0</v>
      </c>
      <c r="M67" s="58">
        <f ca="1">IFERROR(__xludf.DUMMYFUNCTION("IMPORTRANGE(""https://docs.google.com/spreadsheets/d/1-uDff_7J0KD5mKrp0Vvzr7lt3OU09vwQwhkpOPPYv2Y/edit?usp=sharing"",""งบพรบ!AI20"")"),0)</f>
        <v>0</v>
      </c>
      <c r="N67" s="58">
        <f ca="1">IFERROR(__xludf.DUMMYFUNCTION("IMPORTRANGE(""https://docs.google.com/spreadsheets/d/1-uDff_7J0KD5mKrp0Vvzr7lt3OU09vwQwhkpOPPYv2Y/edit?usp=sharing"",""งบพรบ!AK20"")"),0)</f>
        <v>0</v>
      </c>
      <c r="O67" s="58">
        <f ca="1">IF(L67&gt;0,N67*100/L67,0)</f>
        <v>0</v>
      </c>
      <c r="P67" s="58">
        <f ca="1">IF(M67&gt;0,N67*100/M67,0)</f>
        <v>0</v>
      </c>
    </row>
    <row r="68" spans="1:16" ht="19.5" x14ac:dyDescent="0.3">
      <c r="A68" s="119" t="s">
        <v>29</v>
      </c>
      <c r="B68" s="120"/>
      <c r="C68" s="120"/>
      <c r="D68" s="120"/>
      <c r="E68" s="121"/>
      <c r="F68" s="121"/>
      <c r="G68" s="121"/>
      <c r="H68" s="121"/>
      <c r="I68" s="122"/>
      <c r="J68" s="122"/>
      <c r="K68" s="123"/>
      <c r="L68" s="123"/>
      <c r="M68" s="123"/>
      <c r="N68" s="123"/>
      <c r="O68" s="123"/>
      <c r="P68" s="124"/>
    </row>
    <row r="69" spans="1:16" ht="19.5" x14ac:dyDescent="0.3">
      <c r="A69" s="125" t="s">
        <v>30</v>
      </c>
      <c r="B69" s="126"/>
      <c r="C69" s="127"/>
      <c r="D69" s="126"/>
      <c r="E69" s="126"/>
      <c r="F69" s="126"/>
      <c r="G69" s="128"/>
      <c r="H69" s="128"/>
      <c r="I69" s="129"/>
      <c r="J69" s="129"/>
      <c r="K69" s="130"/>
      <c r="L69" s="130"/>
      <c r="M69" s="130"/>
      <c r="N69" s="130"/>
      <c r="O69" s="130"/>
      <c r="P69" s="130"/>
    </row>
    <row r="70" spans="1:16" ht="19.5" x14ac:dyDescent="0.3">
      <c r="A70" s="131"/>
      <c r="B70" s="132" t="s">
        <v>31</v>
      </c>
      <c r="C70" s="26"/>
      <c r="D70" s="133"/>
      <c r="E70" s="26"/>
      <c r="F70" s="26"/>
      <c r="G70" s="29"/>
      <c r="H70" s="134" t="s">
        <v>32</v>
      </c>
      <c r="I70" s="135">
        <f ca="1">I82</f>
        <v>1</v>
      </c>
      <c r="J70" s="135">
        <f>J82</f>
        <v>1</v>
      </c>
      <c r="K70" s="33">
        <f ca="1">IF(I70&gt;0,J70*100/I70,0)</f>
        <v>100</v>
      </c>
      <c r="L70" s="32"/>
      <c r="M70" s="32"/>
      <c r="N70" s="32"/>
      <c r="O70" s="32"/>
      <c r="P70" s="32"/>
    </row>
    <row r="71" spans="1:16" ht="19.5" x14ac:dyDescent="0.3">
      <c r="A71" s="131"/>
      <c r="B71" s="26"/>
      <c r="C71" s="26"/>
      <c r="D71" s="133"/>
      <c r="E71" s="26"/>
      <c r="F71" s="26"/>
      <c r="G71" s="29"/>
      <c r="H71" s="134" t="s">
        <v>33</v>
      </c>
      <c r="I71" s="135">
        <f ca="1">I83</f>
        <v>30</v>
      </c>
      <c r="J71" s="135">
        <f>J83</f>
        <v>30</v>
      </c>
      <c r="K71" s="33">
        <f ca="1">IF(I71&gt;0,J71*100/I71,0)</f>
        <v>100</v>
      </c>
      <c r="L71" s="32"/>
      <c r="M71" s="32"/>
      <c r="N71" s="32"/>
      <c r="O71" s="32"/>
      <c r="P71" s="32"/>
    </row>
    <row r="72" spans="1:16" ht="19.5" x14ac:dyDescent="0.3">
      <c r="A72" s="136"/>
      <c r="B72" s="41"/>
      <c r="C72" s="197" t="s">
        <v>16</v>
      </c>
      <c r="D72" s="397" t="s">
        <v>17</v>
      </c>
      <c r="E72" s="41"/>
      <c r="F72" s="41"/>
      <c r="G72" s="43"/>
      <c r="H72" s="139" t="s">
        <v>12</v>
      </c>
      <c r="I72" s="45"/>
      <c r="J72" s="45"/>
      <c r="K72" s="46"/>
      <c r="L72" s="140">
        <f ca="1">L73+L74</f>
        <v>640200</v>
      </c>
      <c r="M72" s="140">
        <f ca="1">M73+M74</f>
        <v>525500</v>
      </c>
      <c r="N72" s="140">
        <f ca="1">N73+N74</f>
        <v>110582</v>
      </c>
      <c r="O72" s="140">
        <f ca="1">IF(L72&gt;0,N72*100/L72,0)</f>
        <v>17.273039675101529</v>
      </c>
      <c r="P72" s="140">
        <f ca="1">IF(M72&gt;0,N72*100/M72,0)</f>
        <v>21.043196955280685</v>
      </c>
    </row>
    <row r="73" spans="1:16" ht="18.75" hidden="1" x14ac:dyDescent="0.25">
      <c r="A73" s="136"/>
      <c r="B73" s="41"/>
      <c r="C73" s="41"/>
      <c r="D73" s="41"/>
      <c r="E73" s="279" t="s">
        <v>18</v>
      </c>
      <c r="F73" s="41"/>
      <c r="G73" s="43"/>
      <c r="H73" s="141" t="s">
        <v>12</v>
      </c>
      <c r="I73" s="45"/>
      <c r="J73" s="45"/>
      <c r="K73" s="46"/>
      <c r="L73" s="50">
        <f>L76+L79</f>
        <v>0</v>
      </c>
      <c r="M73" s="50">
        <f>M76+M79</f>
        <v>0</v>
      </c>
      <c r="N73" s="50">
        <f>N76+N79</f>
        <v>0</v>
      </c>
      <c r="O73" s="50">
        <f>IF(L73&gt;0,N73*100/L73,0)</f>
        <v>0</v>
      </c>
      <c r="P73" s="50">
        <f>IF(M73&gt;0,N73*100/M73,0)</f>
        <v>0</v>
      </c>
    </row>
    <row r="74" spans="1:16" ht="18.75" x14ac:dyDescent="0.25">
      <c r="A74" s="136"/>
      <c r="B74" s="41"/>
      <c r="C74" s="41"/>
      <c r="D74" s="41"/>
      <c r="E74" s="254" t="s">
        <v>19</v>
      </c>
      <c r="F74" s="41"/>
      <c r="G74" s="43"/>
      <c r="H74" s="142" t="s">
        <v>12</v>
      </c>
      <c r="I74" s="45"/>
      <c r="J74" s="45"/>
      <c r="K74" s="46"/>
      <c r="L74" s="47">
        <f ca="1">L77+L80</f>
        <v>640200</v>
      </c>
      <c r="M74" s="47">
        <f ca="1">M77+M80</f>
        <v>525500</v>
      </c>
      <c r="N74" s="47">
        <f ca="1">N77+N80</f>
        <v>110582</v>
      </c>
      <c r="O74" s="47">
        <f ca="1">IF(L74&gt;0,N74*100/L74,0)</f>
        <v>17.273039675101529</v>
      </c>
      <c r="P74" s="47">
        <f ca="1">IF(M74&gt;0,N74*100/M74,0)</f>
        <v>21.043196955280685</v>
      </c>
    </row>
    <row r="75" spans="1:16" ht="18.75" x14ac:dyDescent="0.25">
      <c r="A75" s="136"/>
      <c r="B75" s="41"/>
      <c r="C75" s="41"/>
      <c r="D75" s="42" t="s">
        <v>20</v>
      </c>
      <c r="E75" s="41"/>
      <c r="F75" s="41"/>
      <c r="G75" s="43"/>
      <c r="H75" s="143" t="s">
        <v>12</v>
      </c>
      <c r="I75" s="144"/>
      <c r="J75" s="144"/>
      <c r="K75" s="145"/>
      <c r="L75" s="47">
        <f ca="1">L76+L77</f>
        <v>640200</v>
      </c>
      <c r="M75" s="47">
        <f ca="1">M76+M77</f>
        <v>525500</v>
      </c>
      <c r="N75" s="47">
        <f ca="1">N76+N77</f>
        <v>110582</v>
      </c>
      <c r="O75" s="47">
        <f ca="1">IF(L75&gt;0,N75*100/L75,0)</f>
        <v>17.273039675101529</v>
      </c>
      <c r="P75" s="47">
        <f ca="1">IF(M75&gt;0,N75*100/M75,0)</f>
        <v>21.043196955280685</v>
      </c>
    </row>
    <row r="76" spans="1:16" ht="18.75" hidden="1" x14ac:dyDescent="0.25">
      <c r="A76" s="136"/>
      <c r="B76" s="41"/>
      <c r="C76" s="41"/>
      <c r="D76" s="41"/>
      <c r="E76" s="279" t="s">
        <v>34</v>
      </c>
      <c r="F76" s="41"/>
      <c r="G76" s="43"/>
      <c r="H76" s="146" t="s">
        <v>12</v>
      </c>
      <c r="I76" s="144"/>
      <c r="J76" s="144"/>
      <c r="K76" s="145"/>
      <c r="L76" s="50">
        <v>0</v>
      </c>
      <c r="M76" s="50">
        <v>0</v>
      </c>
      <c r="N76" s="50">
        <v>0</v>
      </c>
      <c r="O76" s="50">
        <f>IF(L76&gt;0,N76*100/L76,0)</f>
        <v>0</v>
      </c>
      <c r="P76" s="50">
        <f>IF(M76&gt;0,N76*100/M76,0)</f>
        <v>0</v>
      </c>
    </row>
    <row r="77" spans="1:16" ht="18.75" x14ac:dyDescent="0.25">
      <c r="A77" s="136"/>
      <c r="B77" s="41"/>
      <c r="C77" s="41"/>
      <c r="D77" s="41"/>
      <c r="E77" s="254" t="s">
        <v>35</v>
      </c>
      <c r="F77" s="41"/>
      <c r="G77" s="43"/>
      <c r="H77" s="143" t="s">
        <v>12</v>
      </c>
      <c r="I77" s="144"/>
      <c r="J77" s="144"/>
      <c r="K77" s="145"/>
      <c r="L77" s="47">
        <f ca="1">IFERROR(__xludf.DUMMYFUNCTION("IMPORTRANGE(""https://docs.google.com/spreadsheets/d/1-uDff_7J0KD5mKrp0Vvzr7lt3OU09vwQwhkpOPPYv2Y/edit?usp=sharing"",""งบพรบ!AM20"")"),640200)</f>
        <v>640200</v>
      </c>
      <c r="M77" s="47">
        <f ca="1">IFERROR(__xludf.DUMMYFUNCTION("IMPORTRANGE(""https://docs.google.com/spreadsheets/d/1-uDff_7J0KD5mKrp0Vvzr7lt3OU09vwQwhkpOPPYv2Y/edit?usp=sharing"",""งบพรบ!AR20"")"),525500)</f>
        <v>525500</v>
      </c>
      <c r="N77" s="47">
        <f ca="1">IFERROR(__xludf.DUMMYFUNCTION("IMPORTRANGE(""https://docs.google.com/spreadsheets/d/1-uDff_7J0KD5mKrp0Vvzr7lt3OU09vwQwhkpOPPYv2Y/edit?usp=sharing"",""งบพรบ!AT20"")"),110582)</f>
        <v>110582</v>
      </c>
      <c r="O77" s="47">
        <f ca="1">IF(L77&gt;0,N77*100/L77,0)</f>
        <v>17.273039675101529</v>
      </c>
      <c r="P77" s="47">
        <f ca="1">IF(M77&gt;0,N77*100/M77,0)</f>
        <v>21.043196955280685</v>
      </c>
    </row>
    <row r="78" spans="1:16" ht="18.75" x14ac:dyDescent="0.25">
      <c r="A78" s="136"/>
      <c r="B78" s="41"/>
      <c r="C78" s="41"/>
      <c r="D78" s="42" t="s">
        <v>21</v>
      </c>
      <c r="E78" s="41"/>
      <c r="F78" s="41"/>
      <c r="G78" s="43"/>
      <c r="H78" s="147" t="s">
        <v>12</v>
      </c>
      <c r="I78" s="144"/>
      <c r="J78" s="144"/>
      <c r="K78" s="145"/>
      <c r="L78" s="47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</row>
    <row r="79" spans="1:16" ht="18.75" hidden="1" x14ac:dyDescent="0.25">
      <c r="A79" s="136"/>
      <c r="B79" s="41"/>
      <c r="C79" s="41"/>
      <c r="D79" s="41"/>
      <c r="E79" s="279" t="s">
        <v>18</v>
      </c>
      <c r="F79" s="41"/>
      <c r="G79" s="43"/>
      <c r="H79" s="146" t="s">
        <v>12</v>
      </c>
      <c r="I79" s="144"/>
      <c r="J79" s="144"/>
      <c r="K79" s="145"/>
      <c r="L79" s="50">
        <v>0</v>
      </c>
      <c r="M79" s="46"/>
      <c r="N79" s="46"/>
      <c r="O79" s="50">
        <f>IF(L79&gt;0,N79*100/L79,0)</f>
        <v>0</v>
      </c>
      <c r="P79" s="50">
        <f>IF(M79&gt;0,N79*100/M79,0)</f>
        <v>0</v>
      </c>
    </row>
    <row r="80" spans="1:16" ht="18.75" x14ac:dyDescent="0.25">
      <c r="A80" s="136"/>
      <c r="B80" s="41"/>
      <c r="C80" s="41"/>
      <c r="D80" s="41"/>
      <c r="E80" s="254" t="s">
        <v>19</v>
      </c>
      <c r="F80" s="41"/>
      <c r="G80" s="43"/>
      <c r="H80" s="147" t="s">
        <v>12</v>
      </c>
      <c r="I80" s="144"/>
      <c r="J80" s="144"/>
      <c r="K80" s="145"/>
      <c r="L80" s="47">
        <f ca="1">IFERROR(__xludf.DUMMYFUNCTION("IMPORTRANGE(""https://docs.google.com/spreadsheets/d/1-uDff_7J0KD5mKrp0Vvzr7lt3OU09vwQwhkpOPPYv2Y/edit?usp=sharing"",""งบพรบ!AP20"")"),0)</f>
        <v>0</v>
      </c>
      <c r="M80" s="47">
        <f ca="1">IFERROR(__xludf.DUMMYFUNCTION("IMPORTRANGE(""https://docs.google.com/spreadsheets/d/1-uDff_7J0KD5mKrp0Vvzr7lt3OU09vwQwhkpOPPYv2Y/edit?usp=sharing"",""งบพรบ!AS20"")"),0)</f>
        <v>0</v>
      </c>
      <c r="N80" s="47">
        <f ca="1">IFERROR(__xludf.DUMMYFUNCTION("IMPORTRANGE(""https://docs.google.com/spreadsheets/d/1-uDff_7J0KD5mKrp0Vvzr7lt3OU09vwQwhkpOPPYv2Y/edit?usp=sharing"",""งบพรบ!AU20"")"),0)</f>
        <v>0</v>
      </c>
      <c r="O80" s="47">
        <f ca="1">IF(L80&gt;0,N80*100/L80,0)</f>
        <v>0</v>
      </c>
      <c r="P80" s="47">
        <f ca="1">IF(M80&gt;0,N80*100/M80,0)</f>
        <v>0</v>
      </c>
    </row>
    <row r="81" spans="1:16" ht="19.5" x14ac:dyDescent="0.3">
      <c r="A81" s="148"/>
      <c r="B81" s="149"/>
      <c r="C81" s="197" t="s">
        <v>16</v>
      </c>
      <c r="D81" s="395" t="s">
        <v>36</v>
      </c>
      <c r="E81" s="151"/>
      <c r="F81" s="151"/>
      <c r="G81" s="152"/>
      <c r="H81" s="153"/>
      <c r="I81" s="144"/>
      <c r="J81" s="144"/>
      <c r="K81" s="145"/>
      <c r="L81" s="145"/>
      <c r="M81" s="145"/>
      <c r="N81" s="145"/>
      <c r="O81" s="145"/>
      <c r="P81" s="145"/>
    </row>
    <row r="82" spans="1:16" ht="19.5" x14ac:dyDescent="0.3">
      <c r="A82" s="148"/>
      <c r="B82" s="149"/>
      <c r="C82" s="149"/>
      <c r="D82" s="154" t="s">
        <v>37</v>
      </c>
      <c r="E82" s="155"/>
      <c r="F82" s="155"/>
      <c r="G82" s="153"/>
      <c r="H82" s="156" t="s">
        <v>32</v>
      </c>
      <c r="I82" s="157">
        <f ca="1">I84+I86+I88</f>
        <v>1</v>
      </c>
      <c r="J82" s="157">
        <f>J84+J86+J88</f>
        <v>1</v>
      </c>
      <c r="K82" s="158">
        <f ca="1">IF(I82&gt;0,J82*100/I82,0)</f>
        <v>100</v>
      </c>
      <c r="L82" s="145"/>
      <c r="M82" s="145"/>
      <c r="N82" s="145"/>
      <c r="O82" s="145"/>
      <c r="P82" s="145"/>
    </row>
    <row r="83" spans="1:16" ht="19.5" x14ac:dyDescent="0.3">
      <c r="A83" s="148"/>
      <c r="B83" s="149"/>
      <c r="C83" s="149"/>
      <c r="D83" s="149"/>
      <c r="E83" s="155"/>
      <c r="F83" s="155"/>
      <c r="G83" s="153"/>
      <c r="H83" s="156" t="s">
        <v>33</v>
      </c>
      <c r="I83" s="157">
        <f ca="1">I85+I87+I89</f>
        <v>30</v>
      </c>
      <c r="J83" s="157">
        <f>J85+J87+J89</f>
        <v>30</v>
      </c>
      <c r="K83" s="158">
        <f ca="1">IF(I83&gt;0,J83*100/I83,0)</f>
        <v>100</v>
      </c>
      <c r="L83" s="145"/>
      <c r="M83" s="145"/>
      <c r="N83" s="145"/>
      <c r="O83" s="145"/>
      <c r="P83" s="145"/>
    </row>
    <row r="84" spans="1:16" ht="18.75" x14ac:dyDescent="0.25">
      <c r="A84" s="148"/>
      <c r="B84" s="149"/>
      <c r="C84" s="149"/>
      <c r="D84" s="149"/>
      <c r="E84" s="159" t="s">
        <v>38</v>
      </c>
      <c r="F84" s="155"/>
      <c r="G84" s="153"/>
      <c r="H84" s="251" t="s">
        <v>32</v>
      </c>
      <c r="I84" s="161">
        <f ca="1">IFERROR(__xludf.DUMMYFUNCTION("IMPORTRANGE(""https://docs.google.com/spreadsheets/d/1eHaY18a8A9IcSdp1K8H6x8fbOy06t2VsZHhMHf-1x7Y/edit?usp=sharing"",""แผน!H20"")"),0)</f>
        <v>0</v>
      </c>
      <c r="J84" s="250">
        <v>0</v>
      </c>
      <c r="K84" s="163">
        <f ca="1">IF(I84&gt;0,J84*100/I84,0)</f>
        <v>0</v>
      </c>
      <c r="L84" s="145"/>
      <c r="M84" s="145"/>
      <c r="N84" s="145"/>
      <c r="O84" s="145"/>
      <c r="P84" s="145"/>
    </row>
    <row r="85" spans="1:16" ht="18.75" x14ac:dyDescent="0.25">
      <c r="A85" s="148"/>
      <c r="B85" s="149"/>
      <c r="C85" s="149"/>
      <c r="D85" s="149"/>
      <c r="E85" s="155"/>
      <c r="F85" s="155"/>
      <c r="G85" s="153"/>
      <c r="H85" s="251" t="s">
        <v>33</v>
      </c>
      <c r="I85" s="161">
        <f ca="1">IFERROR(__xludf.DUMMYFUNCTION("IMPORTRANGE(""https://docs.google.com/spreadsheets/d/1eHaY18a8A9IcSdp1K8H6x8fbOy06t2VsZHhMHf-1x7Y/edit?usp=sharing"",""แผน!I20"")"),0)</f>
        <v>0</v>
      </c>
      <c r="J85" s="250">
        <v>0</v>
      </c>
      <c r="K85" s="163">
        <f ca="1">IF(I85&gt;0,J85*100/I85,0)</f>
        <v>0</v>
      </c>
      <c r="L85" s="145"/>
      <c r="M85" s="145"/>
      <c r="N85" s="145"/>
      <c r="O85" s="145"/>
      <c r="P85" s="145"/>
    </row>
    <row r="86" spans="1:16" ht="18.75" x14ac:dyDescent="0.25">
      <c r="A86" s="148"/>
      <c r="B86" s="149"/>
      <c r="C86" s="149"/>
      <c r="D86" s="149"/>
      <c r="E86" s="159" t="s">
        <v>39</v>
      </c>
      <c r="F86" s="155"/>
      <c r="G86" s="153"/>
      <c r="H86" s="251" t="s">
        <v>32</v>
      </c>
      <c r="I86" s="161">
        <f ca="1">IFERROR(__xludf.DUMMYFUNCTION("IMPORTRANGE(""https://docs.google.com/spreadsheets/d/1eHaY18a8A9IcSdp1K8H6x8fbOy06t2VsZHhMHf-1x7Y/edit?usp=sharing"",""แผน!F20"")"),0)</f>
        <v>0</v>
      </c>
      <c r="J86" s="250">
        <v>0</v>
      </c>
      <c r="K86" s="163">
        <f ca="1">IF(I86&gt;0,J86*100/I86,0)</f>
        <v>0</v>
      </c>
      <c r="L86" s="145"/>
      <c r="M86" s="145"/>
      <c r="N86" s="145"/>
      <c r="O86" s="145"/>
      <c r="P86" s="145"/>
    </row>
    <row r="87" spans="1:16" ht="18.75" x14ac:dyDescent="0.25">
      <c r="A87" s="148"/>
      <c r="B87" s="149"/>
      <c r="C87" s="149"/>
      <c r="D87" s="149"/>
      <c r="E87" s="155"/>
      <c r="F87" s="155"/>
      <c r="G87" s="153"/>
      <c r="H87" s="251" t="s">
        <v>33</v>
      </c>
      <c r="I87" s="161">
        <f ca="1">IFERROR(__xludf.DUMMYFUNCTION("IMPORTRANGE(""https://docs.google.com/spreadsheets/d/1eHaY18a8A9IcSdp1K8H6x8fbOy06t2VsZHhMHf-1x7Y/edit?usp=sharing"",""แผน!G20"")"),0)</f>
        <v>0</v>
      </c>
      <c r="J87" s="250">
        <v>0</v>
      </c>
      <c r="K87" s="163">
        <f ca="1">IF(I87&gt;0,J87*100/I87,0)</f>
        <v>0</v>
      </c>
      <c r="L87" s="145"/>
      <c r="M87" s="145"/>
      <c r="N87" s="145"/>
      <c r="O87" s="145"/>
      <c r="P87" s="145"/>
    </row>
    <row r="88" spans="1:16" ht="18.75" x14ac:dyDescent="0.25">
      <c r="A88" s="148"/>
      <c r="B88" s="149"/>
      <c r="C88" s="149"/>
      <c r="D88" s="149"/>
      <c r="E88" s="159" t="s">
        <v>40</v>
      </c>
      <c r="F88" s="155"/>
      <c r="G88" s="153"/>
      <c r="H88" s="251" t="s">
        <v>32</v>
      </c>
      <c r="I88" s="161">
        <f ca="1">IFERROR(__xludf.DUMMYFUNCTION("IMPORTRANGE(""https://docs.google.com/spreadsheets/d/1eHaY18a8A9IcSdp1K8H6x8fbOy06t2VsZHhMHf-1x7Y/edit?usp=sharing"",""แผน!D20"")"),1)</f>
        <v>1</v>
      </c>
      <c r="J88" s="250">
        <v>1</v>
      </c>
      <c r="K88" s="163">
        <f ca="1">IF(I88&gt;0,J88*100/I88,0)</f>
        <v>100</v>
      </c>
      <c r="L88" s="145"/>
      <c r="M88" s="145"/>
      <c r="N88" s="145"/>
      <c r="O88" s="145"/>
      <c r="P88" s="145"/>
    </row>
    <row r="89" spans="1:16" ht="18.75" x14ac:dyDescent="0.25">
      <c r="A89" s="148"/>
      <c r="B89" s="149"/>
      <c r="C89" s="149"/>
      <c r="D89" s="149"/>
      <c r="E89" s="155"/>
      <c r="F89" s="155"/>
      <c r="G89" s="153"/>
      <c r="H89" s="251" t="s">
        <v>33</v>
      </c>
      <c r="I89" s="161">
        <f ca="1">IFERROR(__xludf.DUMMYFUNCTION("IMPORTRANGE(""https://docs.google.com/spreadsheets/d/1eHaY18a8A9IcSdp1K8H6x8fbOy06t2VsZHhMHf-1x7Y/edit?usp=sharing"",""แผน!E20"")"),30)</f>
        <v>30</v>
      </c>
      <c r="J89" s="250">
        <v>30</v>
      </c>
      <c r="K89" s="163">
        <f ca="1">IF(I89&gt;0,J89*100/I89,0)</f>
        <v>100</v>
      </c>
      <c r="L89" s="145"/>
      <c r="M89" s="145"/>
      <c r="N89" s="145"/>
      <c r="O89" s="145"/>
      <c r="P89" s="145"/>
    </row>
    <row r="90" spans="1:16" ht="18.75" x14ac:dyDescent="0.25">
      <c r="A90" s="148"/>
      <c r="B90" s="149"/>
      <c r="C90" s="149"/>
      <c r="D90" s="154" t="s">
        <v>41</v>
      </c>
      <c r="E90" s="155"/>
      <c r="F90" s="155"/>
      <c r="G90" s="153"/>
      <c r="H90" s="164" t="s">
        <v>32</v>
      </c>
      <c r="I90" s="161">
        <f ca="1">IFERROR(__xludf.DUMMYFUNCTION("IMPORTRANGE(""https://docs.google.com/spreadsheets/d/1eHaY18a8A9IcSdp1K8H6x8fbOy06t2VsZHhMHf-1x7Y/edit?usp=sharing"",""แผน!J20"")"),1)</f>
        <v>1</v>
      </c>
      <c r="J90" s="250">
        <v>1</v>
      </c>
      <c r="K90" s="163">
        <f ca="1">IF(I90&gt;0,J90*100/I90,0)</f>
        <v>100</v>
      </c>
      <c r="L90" s="145"/>
      <c r="M90" s="145"/>
      <c r="N90" s="145"/>
      <c r="O90" s="145"/>
      <c r="P90" s="145"/>
    </row>
    <row r="91" spans="1:16" ht="19.5" hidden="1" x14ac:dyDescent="0.3">
      <c r="A91" s="125" t="s">
        <v>42</v>
      </c>
      <c r="B91" s="126"/>
      <c r="C91" s="127"/>
      <c r="D91" s="126"/>
      <c r="E91" s="126"/>
      <c r="F91" s="126"/>
      <c r="G91" s="128"/>
      <c r="H91" s="128"/>
      <c r="I91" s="129"/>
      <c r="J91" s="129"/>
      <c r="K91" s="130"/>
      <c r="L91" s="130"/>
      <c r="M91" s="130"/>
      <c r="N91" s="130"/>
      <c r="O91" s="130"/>
      <c r="P91" s="130"/>
    </row>
    <row r="92" spans="1:16" ht="19.5" hidden="1" x14ac:dyDescent="0.3">
      <c r="A92" s="131"/>
      <c r="B92" s="132" t="s">
        <v>43</v>
      </c>
      <c r="C92" s="26"/>
      <c r="D92" s="133"/>
      <c r="E92" s="26"/>
      <c r="F92" s="26"/>
      <c r="G92" s="29"/>
      <c r="H92" s="134" t="s">
        <v>44</v>
      </c>
      <c r="I92" s="135">
        <f ca="1">I108</f>
        <v>0</v>
      </c>
      <c r="J92" s="135">
        <f>J108</f>
        <v>0</v>
      </c>
      <c r="K92" s="33">
        <f ca="1">IF(I92&gt;0,J92*100/I92,0)</f>
        <v>0</v>
      </c>
      <c r="L92" s="32"/>
      <c r="M92" s="32"/>
      <c r="N92" s="32"/>
      <c r="O92" s="32"/>
      <c r="P92" s="32"/>
    </row>
    <row r="93" spans="1:16" ht="19.5" hidden="1" x14ac:dyDescent="0.3">
      <c r="A93" s="131"/>
      <c r="B93" s="26"/>
      <c r="C93" s="26"/>
      <c r="D93" s="133"/>
      <c r="E93" s="26"/>
      <c r="F93" s="26"/>
      <c r="G93" s="29"/>
      <c r="H93" s="134" t="s">
        <v>33</v>
      </c>
      <c r="I93" s="135">
        <f ca="1">I109</f>
        <v>0</v>
      </c>
      <c r="J93" s="135">
        <f>J109</f>
        <v>0</v>
      </c>
      <c r="K93" s="33">
        <f ca="1">IF(I93&gt;0,J93*100/I93,0)</f>
        <v>0</v>
      </c>
      <c r="L93" s="32"/>
      <c r="M93" s="32"/>
      <c r="N93" s="32"/>
      <c r="O93" s="32"/>
      <c r="P93" s="32"/>
    </row>
    <row r="94" spans="1:16" ht="19.5" hidden="1" x14ac:dyDescent="0.3">
      <c r="A94" s="136"/>
      <c r="B94" s="41"/>
      <c r="C94" s="197" t="s">
        <v>16</v>
      </c>
      <c r="D94" s="397" t="s">
        <v>17</v>
      </c>
      <c r="E94" s="41"/>
      <c r="F94" s="41"/>
      <c r="G94" s="43"/>
      <c r="H94" s="139" t="s">
        <v>12</v>
      </c>
      <c r="I94" s="45"/>
      <c r="J94" s="45"/>
      <c r="K94" s="46"/>
      <c r="L94" s="140">
        <f ca="1">L95+L96</f>
        <v>0</v>
      </c>
      <c r="M94" s="140">
        <f ca="1">M95+M96</f>
        <v>0</v>
      </c>
      <c r="N94" s="140">
        <f ca="1">N95+N96</f>
        <v>0</v>
      </c>
      <c r="O94" s="140">
        <f ca="1">IF(L94&gt;0,N94*100/L94,0)</f>
        <v>0</v>
      </c>
      <c r="P94" s="140">
        <f ca="1">IF(M94&gt;0,N94*100/M94,0)</f>
        <v>0</v>
      </c>
    </row>
    <row r="95" spans="1:16" ht="18.75" hidden="1" x14ac:dyDescent="0.25">
      <c r="A95" s="136"/>
      <c r="B95" s="41"/>
      <c r="C95" s="41"/>
      <c r="D95" s="41"/>
      <c r="E95" s="279" t="s">
        <v>18</v>
      </c>
      <c r="F95" s="41"/>
      <c r="G95" s="43"/>
      <c r="H95" s="141" t="s">
        <v>12</v>
      </c>
      <c r="I95" s="45"/>
      <c r="J95" s="45"/>
      <c r="K95" s="46"/>
      <c r="L95" s="50">
        <f>L98+L101</f>
        <v>0</v>
      </c>
      <c r="M95" s="50">
        <f>M98+M101</f>
        <v>0</v>
      </c>
      <c r="N95" s="50">
        <f>N98+N101</f>
        <v>0</v>
      </c>
      <c r="O95" s="50">
        <f>IF(L95&gt;0,N95*100/L95,0)</f>
        <v>0</v>
      </c>
      <c r="P95" s="50">
        <f>IF(M95&gt;0,N95*100/M95,0)</f>
        <v>0</v>
      </c>
    </row>
    <row r="96" spans="1:16" ht="18.75" hidden="1" x14ac:dyDescent="0.25">
      <c r="A96" s="136"/>
      <c r="B96" s="41"/>
      <c r="C96" s="41"/>
      <c r="D96" s="41"/>
      <c r="E96" s="254" t="s">
        <v>19</v>
      </c>
      <c r="F96" s="41"/>
      <c r="G96" s="43"/>
      <c r="H96" s="142" t="s">
        <v>12</v>
      </c>
      <c r="I96" s="45"/>
      <c r="J96" s="45"/>
      <c r="K96" s="46"/>
      <c r="L96" s="47">
        <f ca="1">L99+L102</f>
        <v>0</v>
      </c>
      <c r="M96" s="47">
        <f ca="1">M99+M102</f>
        <v>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</row>
    <row r="97" spans="1:16" ht="18.75" hidden="1" x14ac:dyDescent="0.25">
      <c r="A97" s="136"/>
      <c r="B97" s="41"/>
      <c r="C97" s="41"/>
      <c r="D97" s="42" t="s">
        <v>20</v>
      </c>
      <c r="E97" s="41"/>
      <c r="F97" s="41"/>
      <c r="G97" s="43"/>
      <c r="H97" s="143" t="s">
        <v>12</v>
      </c>
      <c r="I97" s="144"/>
      <c r="J97" s="144"/>
      <c r="K97" s="145"/>
      <c r="L97" s="47">
        <f ca="1">L98+L99</f>
        <v>0</v>
      </c>
      <c r="M97" s="47">
        <f ca="1">M98+M99</f>
        <v>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</row>
    <row r="98" spans="1:16" ht="18.75" hidden="1" x14ac:dyDescent="0.25">
      <c r="A98" s="136"/>
      <c r="B98" s="41"/>
      <c r="C98" s="41"/>
      <c r="D98" s="41"/>
      <c r="E98" s="279" t="s">
        <v>34</v>
      </c>
      <c r="F98" s="41"/>
      <c r="G98" s="43"/>
      <c r="H98" s="146" t="s">
        <v>12</v>
      </c>
      <c r="I98" s="144"/>
      <c r="J98" s="144"/>
      <c r="K98" s="145"/>
      <c r="L98" s="50">
        <v>0</v>
      </c>
      <c r="M98" s="50">
        <v>0</v>
      </c>
      <c r="N98" s="50">
        <v>0</v>
      </c>
      <c r="O98" s="50">
        <f>IF(L98&gt;0,N98*100/L98,0)</f>
        <v>0</v>
      </c>
      <c r="P98" s="50">
        <f>IF(M98&gt;0,N98*100/M98,0)</f>
        <v>0</v>
      </c>
    </row>
    <row r="99" spans="1:16" ht="18.75" hidden="1" x14ac:dyDescent="0.25">
      <c r="A99" s="136"/>
      <c r="B99" s="41"/>
      <c r="C99" s="41"/>
      <c r="D99" s="41"/>
      <c r="E99" s="254" t="s">
        <v>35</v>
      </c>
      <c r="F99" s="41"/>
      <c r="G99" s="43"/>
      <c r="H99" s="143" t="s">
        <v>12</v>
      </c>
      <c r="I99" s="144"/>
      <c r="J99" s="144"/>
      <c r="K99" s="145"/>
      <c r="L99" s="47">
        <f ca="1">IFERROR(__xludf.DUMMYFUNCTION("IMPORTRANGE(""https://docs.google.com/spreadsheets/d/1-uDff_7J0KD5mKrp0Vvzr7lt3OU09vwQwhkpOPPYv2Y/edit?usp=sharing"",""งบพรบ!AW20"")"),0)</f>
        <v>0</v>
      </c>
      <c r="M99" s="47">
        <f ca="1">IFERROR(__xludf.DUMMYFUNCTION("IMPORTRANGE(""https://docs.google.com/spreadsheets/d/1-uDff_7J0KD5mKrp0Vvzr7lt3OU09vwQwhkpOPPYv2Y/edit?usp=sharing"",""งบพรบ!BB20"")"),0)</f>
        <v>0</v>
      </c>
      <c r="N99" s="47">
        <f ca="1">IFERROR(__xludf.DUMMYFUNCTION("IMPORTRANGE(""https://docs.google.com/spreadsheets/d/1-uDff_7J0KD5mKrp0Vvzr7lt3OU09vwQwhkpOPPYv2Y/edit?usp=sharing"",""งบพรบ!BD20"")"),0)</f>
        <v>0</v>
      </c>
      <c r="O99" s="47">
        <f ca="1">IF(L99&gt;0,N99*100/L99,0)</f>
        <v>0</v>
      </c>
      <c r="P99" s="47">
        <f ca="1">IF(M99&gt;0,N99*100/M99,0)</f>
        <v>0</v>
      </c>
    </row>
    <row r="100" spans="1:16" ht="18.75" hidden="1" x14ac:dyDescent="0.25">
      <c r="A100" s="136"/>
      <c r="B100" s="41"/>
      <c r="C100" s="41"/>
      <c r="D100" s="42" t="s">
        <v>21</v>
      </c>
      <c r="E100" s="41"/>
      <c r="F100" s="41"/>
      <c r="G100" s="43"/>
      <c r="H100" s="147" t="s">
        <v>12</v>
      </c>
      <c r="I100" s="144"/>
      <c r="J100" s="144"/>
      <c r="K100" s="145"/>
      <c r="L100" s="47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</row>
    <row r="101" spans="1:16" ht="18.75" hidden="1" x14ac:dyDescent="0.25">
      <c r="A101" s="136"/>
      <c r="B101" s="41"/>
      <c r="C101" s="41"/>
      <c r="D101" s="41"/>
      <c r="E101" s="279" t="s">
        <v>18</v>
      </c>
      <c r="F101" s="41"/>
      <c r="G101" s="43"/>
      <c r="H101" s="146" t="s">
        <v>12</v>
      </c>
      <c r="I101" s="144"/>
      <c r="J101" s="144"/>
      <c r="K101" s="145"/>
      <c r="L101" s="50">
        <v>0</v>
      </c>
      <c r="M101" s="50">
        <v>0</v>
      </c>
      <c r="N101" s="50">
        <v>0</v>
      </c>
      <c r="O101" s="50">
        <f>IF(L101&gt;0,N101*100/L101,0)</f>
        <v>0</v>
      </c>
      <c r="P101" s="50">
        <f>IF(M101&gt;0,N101*100/M101,0)</f>
        <v>0</v>
      </c>
    </row>
    <row r="102" spans="1:16" ht="18.75" hidden="1" x14ac:dyDescent="0.25">
      <c r="A102" s="136"/>
      <c r="B102" s="41"/>
      <c r="C102" s="41"/>
      <c r="D102" s="41"/>
      <c r="E102" s="254" t="s">
        <v>19</v>
      </c>
      <c r="F102" s="41"/>
      <c r="G102" s="43"/>
      <c r="H102" s="147" t="s">
        <v>12</v>
      </c>
      <c r="I102" s="144"/>
      <c r="J102" s="144"/>
      <c r="K102" s="145"/>
      <c r="L102" s="47">
        <f ca="1">IFERROR(__xludf.DUMMYFUNCTION("IMPORTRANGE(""https://docs.google.com/spreadsheets/d/1-uDff_7J0KD5mKrp0Vvzr7lt3OU09vwQwhkpOPPYv2Y/edit?usp=sharing"",""งบพรบ!AZ20"")"),0)</f>
        <v>0</v>
      </c>
      <c r="M102" s="47">
        <f ca="1">IFERROR(__xludf.DUMMYFUNCTION("IMPORTRANGE(""https://docs.google.com/spreadsheets/d/1-uDff_7J0KD5mKrp0Vvzr7lt3OU09vwQwhkpOPPYv2Y/edit?usp=sharing"",""งบพรบ!BC20"")"),0)</f>
        <v>0</v>
      </c>
      <c r="N102" s="47">
        <f ca="1">IFERROR(__xludf.DUMMYFUNCTION("IMPORTRANGE(""https://docs.google.com/spreadsheets/d/1-uDff_7J0KD5mKrp0Vvzr7lt3OU09vwQwhkpOPPYv2Y/edit?usp=sharing"",""งบพรบ!BE20"")"),0)</f>
        <v>0</v>
      </c>
      <c r="O102" s="47">
        <f ca="1">IF(L102&gt;0,N102*100/L102,0)</f>
        <v>0</v>
      </c>
      <c r="P102" s="47">
        <f ca="1">IF(M102&gt;0,N102*100/M102,0)</f>
        <v>0</v>
      </c>
    </row>
    <row r="103" spans="1:16" ht="19.5" hidden="1" x14ac:dyDescent="0.3">
      <c r="A103" s="148"/>
      <c r="B103" s="149"/>
      <c r="C103" s="197" t="s">
        <v>16</v>
      </c>
      <c r="D103" s="395" t="s">
        <v>36</v>
      </c>
      <c r="E103" s="151"/>
      <c r="F103" s="151"/>
      <c r="G103" s="152"/>
      <c r="H103" s="153"/>
      <c r="I103" s="144"/>
      <c r="J103" s="45"/>
      <c r="K103" s="46"/>
      <c r="L103" s="46"/>
      <c r="M103" s="46"/>
      <c r="N103" s="46"/>
      <c r="O103" s="145"/>
      <c r="P103" s="145"/>
    </row>
    <row r="104" spans="1:16" ht="12.75" hidden="1" x14ac:dyDescent="0.2">
      <c r="A104" s="165"/>
      <c r="B104" s="166"/>
      <c r="C104" s="166"/>
      <c r="D104" s="16"/>
      <c r="E104" s="16"/>
      <c r="F104" s="16"/>
      <c r="G104" s="17"/>
      <c r="H104" s="17"/>
      <c r="I104" s="18"/>
      <c r="J104" s="18"/>
      <c r="K104" s="19"/>
      <c r="L104" s="19"/>
      <c r="M104" s="19"/>
      <c r="N104" s="19"/>
      <c r="O104" s="19"/>
      <c r="P104" s="19"/>
    </row>
    <row r="105" spans="1:16" ht="12.75" hidden="1" x14ac:dyDescent="0.2">
      <c r="A105" s="165"/>
      <c r="B105" s="166"/>
      <c r="C105" s="166"/>
      <c r="D105" s="16"/>
      <c r="E105" s="16"/>
      <c r="F105" s="16"/>
      <c r="G105" s="17"/>
      <c r="H105" s="17"/>
      <c r="I105" s="18"/>
      <c r="J105" s="18"/>
      <c r="K105" s="19"/>
      <c r="L105" s="19"/>
      <c r="M105" s="19"/>
      <c r="N105" s="19"/>
      <c r="O105" s="19"/>
      <c r="P105" s="19"/>
    </row>
    <row r="106" spans="1:16" ht="12.75" hidden="1" x14ac:dyDescent="0.2">
      <c r="A106" s="165"/>
      <c r="B106" s="166"/>
      <c r="C106" s="166"/>
      <c r="D106" s="166"/>
      <c r="E106" s="16"/>
      <c r="F106" s="16"/>
      <c r="G106" s="17"/>
      <c r="H106" s="17"/>
      <c r="I106" s="18"/>
      <c r="J106" s="18"/>
      <c r="K106" s="19"/>
      <c r="L106" s="19"/>
      <c r="M106" s="19"/>
      <c r="N106" s="19"/>
      <c r="O106" s="19"/>
      <c r="P106" s="19"/>
    </row>
    <row r="107" spans="1:16" ht="19.5" hidden="1" x14ac:dyDescent="0.3">
      <c r="A107" s="148"/>
      <c r="B107" s="149"/>
      <c r="C107" s="149"/>
      <c r="D107" s="167" t="s">
        <v>45</v>
      </c>
      <c r="E107" s="168"/>
      <c r="F107" s="155"/>
      <c r="G107" s="153"/>
      <c r="H107" s="43"/>
      <c r="I107" s="45"/>
      <c r="J107" s="45"/>
      <c r="K107" s="46"/>
      <c r="L107" s="46"/>
      <c r="M107" s="46"/>
      <c r="N107" s="46"/>
      <c r="O107" s="145"/>
      <c r="P107" s="145"/>
    </row>
    <row r="108" spans="1:16" ht="18.75" hidden="1" x14ac:dyDescent="0.25">
      <c r="A108" s="148"/>
      <c r="B108" s="149"/>
      <c r="C108" s="149"/>
      <c r="D108" s="159" t="s">
        <v>46</v>
      </c>
      <c r="E108" s="155"/>
      <c r="F108" s="155"/>
      <c r="G108" s="153"/>
      <c r="H108" s="44" t="s">
        <v>44</v>
      </c>
      <c r="I108" s="169">
        <f ca="1">IFERROR(__xludf.DUMMYFUNCTION("IMPORTRANGE(""https://docs.google.com/spreadsheets/d/1eHaY18a8A9IcSdp1K8H6x8fbOy06t2VsZHhMHf-1x7Y/edit?usp=sharing"",""แผน!N20"")"),0)</f>
        <v>0</v>
      </c>
      <c r="J108" s="250">
        <v>0</v>
      </c>
      <c r="K108" s="47">
        <f ca="1">IF(I108&gt;0,J108*100/I108,0)</f>
        <v>0</v>
      </c>
      <c r="L108" s="46"/>
      <c r="M108" s="46"/>
      <c r="N108" s="46"/>
      <c r="O108" s="145"/>
      <c r="P108" s="145"/>
    </row>
    <row r="109" spans="1:16" ht="18.75" hidden="1" x14ac:dyDescent="0.25">
      <c r="A109" s="148"/>
      <c r="B109" s="149"/>
      <c r="C109" s="149"/>
      <c r="D109" s="159" t="s">
        <v>47</v>
      </c>
      <c r="E109" s="155"/>
      <c r="F109" s="155"/>
      <c r="G109" s="153"/>
      <c r="H109" s="44" t="s">
        <v>33</v>
      </c>
      <c r="I109" s="169">
        <f ca="1">IFERROR(__xludf.DUMMYFUNCTION("IMPORTRANGE(""https://docs.google.com/spreadsheets/d/1eHaY18a8A9IcSdp1K8H6x8fbOy06t2VsZHhMHf-1x7Y/edit?usp=sharing"",""แผน!O20"")"),0)</f>
        <v>0</v>
      </c>
      <c r="J109" s="250">
        <v>0</v>
      </c>
      <c r="K109" s="47">
        <f ca="1">IF(I109&gt;0,J109*100/I109,0)</f>
        <v>0</v>
      </c>
      <c r="L109" s="46"/>
      <c r="M109" s="46"/>
      <c r="N109" s="46"/>
      <c r="O109" s="145"/>
      <c r="P109" s="145"/>
    </row>
    <row r="110" spans="1:16" ht="12.75" hidden="1" x14ac:dyDescent="0.2">
      <c r="A110" s="165"/>
      <c r="B110" s="166"/>
      <c r="C110" s="166"/>
      <c r="D110" s="16"/>
      <c r="E110" s="16"/>
      <c r="F110" s="16"/>
      <c r="G110" s="17"/>
      <c r="H110" s="17"/>
      <c r="I110" s="18"/>
      <c r="J110" s="18"/>
      <c r="K110" s="19"/>
      <c r="L110" s="19"/>
      <c r="M110" s="19"/>
      <c r="N110" s="19"/>
      <c r="O110" s="19"/>
      <c r="P110" s="19"/>
    </row>
    <row r="111" spans="1:16" ht="12.75" hidden="1" x14ac:dyDescent="0.2">
      <c r="A111" s="165"/>
      <c r="B111" s="166"/>
      <c r="C111" s="166"/>
      <c r="D111" s="16"/>
      <c r="E111" s="16"/>
      <c r="F111" s="16"/>
      <c r="G111" s="17"/>
      <c r="H111" s="17"/>
      <c r="I111" s="18"/>
      <c r="J111" s="18"/>
      <c r="K111" s="19"/>
      <c r="L111" s="19"/>
      <c r="M111" s="19"/>
      <c r="N111" s="19"/>
      <c r="O111" s="19"/>
      <c r="P111" s="19"/>
    </row>
    <row r="112" spans="1:16" ht="12.75" hidden="1" x14ac:dyDescent="0.2">
      <c r="A112" s="165"/>
      <c r="B112" s="166"/>
      <c r="C112" s="166"/>
      <c r="D112" s="16"/>
      <c r="E112" s="16"/>
      <c r="F112" s="16"/>
      <c r="G112" s="17"/>
      <c r="H112" s="17"/>
      <c r="I112" s="18"/>
      <c r="J112" s="18"/>
      <c r="K112" s="19"/>
      <c r="L112" s="19"/>
      <c r="M112" s="19"/>
      <c r="N112" s="19"/>
      <c r="O112" s="19"/>
      <c r="P112" s="19"/>
    </row>
    <row r="113" spans="1:16" ht="12.75" hidden="1" x14ac:dyDescent="0.2">
      <c r="A113" s="165"/>
      <c r="B113" s="166"/>
      <c r="C113" s="166"/>
      <c r="D113" s="16"/>
      <c r="E113" s="16"/>
      <c r="F113" s="16"/>
      <c r="G113" s="17"/>
      <c r="H113" s="17"/>
      <c r="I113" s="18"/>
      <c r="J113" s="18"/>
      <c r="K113" s="19"/>
      <c r="L113" s="19"/>
      <c r="M113" s="19"/>
      <c r="N113" s="19"/>
      <c r="O113" s="19"/>
      <c r="P113" s="19"/>
    </row>
    <row r="114" spans="1:16" ht="12.75" hidden="1" x14ac:dyDescent="0.2">
      <c r="A114" s="165"/>
      <c r="B114" s="166"/>
      <c r="C114" s="166"/>
      <c r="D114" s="16"/>
      <c r="E114" s="16"/>
      <c r="F114" s="16"/>
      <c r="G114" s="17"/>
      <c r="H114" s="17"/>
      <c r="I114" s="18"/>
      <c r="J114" s="18"/>
      <c r="K114" s="19"/>
      <c r="L114" s="19"/>
      <c r="M114" s="19"/>
      <c r="N114" s="19"/>
      <c r="O114" s="19"/>
      <c r="P114" s="19"/>
    </row>
    <row r="115" spans="1:16" ht="12.75" hidden="1" x14ac:dyDescent="0.2">
      <c r="A115" s="165"/>
      <c r="B115" s="166"/>
      <c r="C115" s="166"/>
      <c r="D115" s="16"/>
      <c r="E115" s="16"/>
      <c r="F115" s="16"/>
      <c r="G115" s="17"/>
      <c r="H115" s="17"/>
      <c r="I115" s="18"/>
      <c r="J115" s="18"/>
      <c r="K115" s="19"/>
      <c r="L115" s="19"/>
      <c r="M115" s="19"/>
      <c r="N115" s="19"/>
      <c r="O115" s="19"/>
      <c r="P115" s="19"/>
    </row>
    <row r="116" spans="1:16" ht="12.75" hidden="1" x14ac:dyDescent="0.2">
      <c r="A116" s="165"/>
      <c r="B116" s="166"/>
      <c r="C116" s="166"/>
      <c r="D116" s="16"/>
      <c r="E116" s="16"/>
      <c r="F116" s="16"/>
      <c r="G116" s="17"/>
      <c r="H116" s="17"/>
      <c r="I116" s="18"/>
      <c r="J116" s="18"/>
      <c r="K116" s="19"/>
      <c r="L116" s="19"/>
      <c r="M116" s="19"/>
      <c r="N116" s="19"/>
      <c r="O116" s="19"/>
      <c r="P116" s="19"/>
    </row>
    <row r="117" spans="1:16" ht="18.75" hidden="1" x14ac:dyDescent="0.25">
      <c r="A117" s="148"/>
      <c r="B117" s="149"/>
      <c r="C117" s="149"/>
      <c r="D117" s="159" t="s">
        <v>48</v>
      </c>
      <c r="E117" s="155"/>
      <c r="F117" s="155"/>
      <c r="G117" s="153"/>
      <c r="H117" s="251" t="s">
        <v>33</v>
      </c>
      <c r="I117" s="161">
        <f ca="1">IFERROR(__xludf.DUMMYFUNCTION("IMPORTRANGE(""https://docs.google.com/spreadsheets/d/1eHaY18a8A9IcSdp1K8H6x8fbOy06t2VsZHhMHf-1x7Y/edit?usp=sharing"",""แผน!R20"")"),0)</f>
        <v>0</v>
      </c>
      <c r="J117" s="250">
        <v>0</v>
      </c>
      <c r="K117" s="47">
        <f ca="1">IF(I117&gt;0,J117*100/I117,0)</f>
        <v>0</v>
      </c>
      <c r="L117" s="46"/>
      <c r="M117" s="46"/>
      <c r="N117" s="46"/>
      <c r="O117" s="145"/>
      <c r="P117" s="145"/>
    </row>
    <row r="118" spans="1:16" ht="12.75" hidden="1" x14ac:dyDescent="0.2">
      <c r="A118" s="165"/>
      <c r="B118" s="166"/>
      <c r="C118" s="166"/>
      <c r="D118" s="166"/>
      <c r="E118" s="16"/>
      <c r="F118" s="16"/>
      <c r="G118" s="17"/>
      <c r="H118" s="17"/>
      <c r="I118" s="18"/>
      <c r="J118" s="18"/>
      <c r="K118" s="19"/>
      <c r="L118" s="19"/>
      <c r="M118" s="19"/>
      <c r="N118" s="19"/>
      <c r="O118" s="19"/>
      <c r="P118" s="19"/>
    </row>
    <row r="119" spans="1:16" ht="12.75" hidden="1" x14ac:dyDescent="0.2">
      <c r="A119" s="165"/>
      <c r="B119" s="166"/>
      <c r="C119" s="166"/>
      <c r="D119" s="166"/>
      <c r="E119" s="16"/>
      <c r="F119" s="16"/>
      <c r="G119" s="17"/>
      <c r="H119" s="17"/>
      <c r="I119" s="18"/>
      <c r="J119" s="18"/>
      <c r="K119" s="19"/>
      <c r="L119" s="19"/>
      <c r="M119" s="19"/>
      <c r="N119" s="19"/>
      <c r="O119" s="19"/>
      <c r="P119" s="19"/>
    </row>
    <row r="120" spans="1:16" ht="12.75" hidden="1" x14ac:dyDescent="0.2">
      <c r="A120" s="165"/>
      <c r="B120" s="166"/>
      <c r="C120" s="166"/>
      <c r="D120" s="166"/>
      <c r="E120" s="16"/>
      <c r="F120" s="16"/>
      <c r="G120" s="17"/>
      <c r="H120" s="17"/>
      <c r="I120" s="18"/>
      <c r="J120" s="18"/>
      <c r="K120" s="19"/>
      <c r="L120" s="19"/>
      <c r="M120" s="19"/>
      <c r="N120" s="19"/>
      <c r="O120" s="19"/>
      <c r="P120" s="19"/>
    </row>
    <row r="121" spans="1:16" ht="12.75" hidden="1" x14ac:dyDescent="0.2">
      <c r="A121" s="165"/>
      <c r="B121" s="166"/>
      <c r="C121" s="166"/>
      <c r="D121" s="166"/>
      <c r="E121" s="16"/>
      <c r="F121" s="16"/>
      <c r="G121" s="17"/>
      <c r="H121" s="17"/>
      <c r="I121" s="18"/>
      <c r="J121" s="18"/>
      <c r="K121" s="19"/>
      <c r="L121" s="19"/>
      <c r="M121" s="19"/>
      <c r="N121" s="19"/>
      <c r="O121" s="19"/>
      <c r="P121" s="19"/>
    </row>
    <row r="122" spans="1:16" ht="12.75" hidden="1" x14ac:dyDescent="0.2">
      <c r="A122" s="165"/>
      <c r="B122" s="166"/>
      <c r="C122" s="166"/>
      <c r="D122" s="166"/>
      <c r="E122" s="16"/>
      <c r="F122" s="16"/>
      <c r="G122" s="17"/>
      <c r="H122" s="17"/>
      <c r="I122" s="18"/>
      <c r="J122" s="18"/>
      <c r="K122" s="19"/>
      <c r="L122" s="19"/>
      <c r="M122" s="19"/>
      <c r="N122" s="19"/>
      <c r="O122" s="19"/>
      <c r="P122" s="19"/>
    </row>
    <row r="123" spans="1:16" ht="19.5" hidden="1" x14ac:dyDescent="0.3">
      <c r="A123" s="170" t="s">
        <v>49</v>
      </c>
      <c r="B123" s="16"/>
      <c r="C123" s="171"/>
      <c r="D123" s="16"/>
      <c r="E123" s="16"/>
      <c r="F123" s="16"/>
      <c r="G123" s="16"/>
      <c r="H123" s="16"/>
      <c r="I123" s="172"/>
      <c r="J123" s="172"/>
      <c r="K123" s="173"/>
      <c r="L123" s="19"/>
      <c r="M123" s="19"/>
      <c r="N123" s="19"/>
      <c r="O123" s="19"/>
      <c r="P123" s="19"/>
    </row>
    <row r="124" spans="1:16" ht="19.5" hidden="1" x14ac:dyDescent="0.3">
      <c r="A124" s="174"/>
      <c r="B124" s="178" t="s">
        <v>50</v>
      </c>
      <c r="C124" s="171"/>
      <c r="D124" s="166"/>
      <c r="E124" s="16"/>
      <c r="F124" s="16"/>
      <c r="G124" s="17"/>
      <c r="H124" s="17"/>
      <c r="I124" s="176">
        <v>0</v>
      </c>
      <c r="J124" s="176">
        <v>0</v>
      </c>
      <c r="K124" s="177">
        <v>0</v>
      </c>
      <c r="L124" s="19"/>
      <c r="M124" s="19"/>
      <c r="N124" s="19"/>
      <c r="O124" s="19"/>
      <c r="P124" s="19"/>
    </row>
    <row r="125" spans="1:16" ht="19.5" hidden="1" x14ac:dyDescent="0.3">
      <c r="A125" s="174"/>
      <c r="B125" s="16"/>
      <c r="C125" s="178" t="s">
        <v>16</v>
      </c>
      <c r="D125" s="402" t="s">
        <v>17</v>
      </c>
      <c r="E125" s="16"/>
      <c r="F125" s="16"/>
      <c r="G125" s="17"/>
      <c r="H125" s="180" t="s">
        <v>12</v>
      </c>
      <c r="I125" s="18"/>
      <c r="J125" s="18"/>
      <c r="K125" s="19"/>
      <c r="L125" s="181">
        <f ca="1">L126+L127</f>
        <v>0</v>
      </c>
      <c r="M125" s="181">
        <f ca="1">M126+M127</f>
        <v>0</v>
      </c>
      <c r="N125" s="181">
        <f ca="1">N126+N127</f>
        <v>0</v>
      </c>
      <c r="O125" s="181">
        <f ca="1">IF(L125&gt;0,N125*100/L125,0)</f>
        <v>0</v>
      </c>
      <c r="P125" s="181">
        <f ca="1">IF(M125&gt;0,N125*100/M125,0)</f>
        <v>0</v>
      </c>
    </row>
    <row r="126" spans="1:16" ht="18.75" hidden="1" x14ac:dyDescent="0.25">
      <c r="A126" s="174"/>
      <c r="B126" s="16"/>
      <c r="C126" s="16"/>
      <c r="D126" s="16"/>
      <c r="E126" s="182" t="s">
        <v>18</v>
      </c>
      <c r="F126" s="16"/>
      <c r="G126" s="17"/>
      <c r="H126" s="183" t="s">
        <v>12</v>
      </c>
      <c r="I126" s="18"/>
      <c r="J126" s="18"/>
      <c r="K126" s="19"/>
      <c r="L126" s="184">
        <f>L129+L132</f>
        <v>0</v>
      </c>
      <c r="M126" s="184">
        <f>M129+M132</f>
        <v>0</v>
      </c>
      <c r="N126" s="184">
        <f>N129+N132</f>
        <v>0</v>
      </c>
      <c r="O126" s="184">
        <f>IF(L126&gt;0,N126*100/L126,0)</f>
        <v>0</v>
      </c>
      <c r="P126" s="184">
        <f>IF(M126&gt;0,N126*100/M126,0)</f>
        <v>0</v>
      </c>
    </row>
    <row r="127" spans="1:16" ht="18.75" hidden="1" x14ac:dyDescent="0.25">
      <c r="A127" s="174"/>
      <c r="B127" s="16"/>
      <c r="C127" s="16"/>
      <c r="D127" s="16"/>
      <c r="E127" s="185" t="s">
        <v>19</v>
      </c>
      <c r="F127" s="16"/>
      <c r="G127" s="17"/>
      <c r="H127" s="186" t="s">
        <v>12</v>
      </c>
      <c r="I127" s="18"/>
      <c r="J127" s="18"/>
      <c r="K127" s="19"/>
      <c r="L127" s="177">
        <f ca="1">L130+L133</f>
        <v>0</v>
      </c>
      <c r="M127" s="177">
        <f ca="1">M130+M133</f>
        <v>0</v>
      </c>
      <c r="N127" s="177">
        <f ca="1">N130+N133</f>
        <v>0</v>
      </c>
      <c r="O127" s="177">
        <f ca="1">IF(L127&gt;0,N127*100/L127,0)</f>
        <v>0</v>
      </c>
      <c r="P127" s="177">
        <f ca="1">IF(M127&gt;0,N127*100/M127,0)</f>
        <v>0</v>
      </c>
    </row>
    <row r="128" spans="1:16" ht="18.75" hidden="1" x14ac:dyDescent="0.25">
      <c r="A128" s="174"/>
      <c r="B128" s="16"/>
      <c r="C128" s="16"/>
      <c r="D128" s="401" t="s">
        <v>20</v>
      </c>
      <c r="E128" s="16"/>
      <c r="F128" s="16"/>
      <c r="G128" s="17"/>
      <c r="H128" s="188" t="s">
        <v>12</v>
      </c>
      <c r="I128" s="18"/>
      <c r="J128" s="18"/>
      <c r="K128" s="19"/>
      <c r="L128" s="177">
        <f ca="1">L129+L130</f>
        <v>0</v>
      </c>
      <c r="M128" s="177">
        <f ca="1">M129+M130</f>
        <v>0</v>
      </c>
      <c r="N128" s="177">
        <f ca="1">N129+N130</f>
        <v>0</v>
      </c>
      <c r="O128" s="177">
        <f ca="1">IF(L128&gt;0,N128*100/L128,0)</f>
        <v>0</v>
      </c>
      <c r="P128" s="177">
        <f ca="1">IF(M128&gt;0,N128*100/M128,0)</f>
        <v>0</v>
      </c>
    </row>
    <row r="129" spans="1:16" ht="18.75" hidden="1" x14ac:dyDescent="0.25">
      <c r="A129" s="174"/>
      <c r="B129" s="16"/>
      <c r="C129" s="16"/>
      <c r="D129" s="16"/>
      <c r="E129" s="182" t="s">
        <v>34</v>
      </c>
      <c r="F129" s="16"/>
      <c r="G129" s="17"/>
      <c r="H129" s="189" t="s">
        <v>12</v>
      </c>
      <c r="I129" s="18"/>
      <c r="J129" s="18"/>
      <c r="K129" s="19"/>
      <c r="L129" s="184">
        <v>0</v>
      </c>
      <c r="M129" s="184">
        <v>0</v>
      </c>
      <c r="N129" s="184">
        <v>0</v>
      </c>
      <c r="O129" s="184">
        <f>IF(L129&gt;0,N129*100/L129,0)</f>
        <v>0</v>
      </c>
      <c r="P129" s="184">
        <f>IF(M129&gt;0,N129*100/M129,0)</f>
        <v>0</v>
      </c>
    </row>
    <row r="130" spans="1:16" ht="18.75" hidden="1" x14ac:dyDescent="0.25">
      <c r="A130" s="174"/>
      <c r="B130" s="16"/>
      <c r="C130" s="16"/>
      <c r="D130" s="16"/>
      <c r="E130" s="185" t="s">
        <v>35</v>
      </c>
      <c r="F130" s="16"/>
      <c r="G130" s="17"/>
      <c r="H130" s="188" t="s">
        <v>12</v>
      </c>
      <c r="I130" s="18"/>
      <c r="J130" s="18"/>
      <c r="K130" s="19"/>
      <c r="L130" s="177">
        <f ca="1">IFERROR(__xludf.DUMMYFUNCTION("IMPORTRANGE(""https://docs.google.com/spreadsheets/d/1-uDff_7J0KD5mKrp0Vvzr7lt3OU09vwQwhkpOPPYv2Y/edit?usp=sharing"",""งบพรบ!BG20"")"),0)</f>
        <v>0</v>
      </c>
      <c r="M130" s="177">
        <f ca="1">IFERROR(__xludf.DUMMYFUNCTION("IMPORTRANGE(""https://docs.google.com/spreadsheets/d/1-uDff_7J0KD5mKrp0Vvzr7lt3OU09vwQwhkpOPPYv2Y/edit?usp=sharing"",""งบพรบ!BL20"")"),0)</f>
        <v>0</v>
      </c>
      <c r="N130" s="177">
        <f ca="1">IFERROR(__xludf.DUMMYFUNCTION("IMPORTRANGE(""https://docs.google.com/spreadsheets/d/1-uDff_7J0KD5mKrp0Vvzr7lt3OU09vwQwhkpOPPYv2Y/edit?usp=sharing"",""งบพรบ!BN20"")"),0)</f>
        <v>0</v>
      </c>
      <c r="O130" s="177">
        <f ca="1">IF(L130&gt;0,N130*100/L130,0)</f>
        <v>0</v>
      </c>
      <c r="P130" s="177">
        <f ca="1">IF(M130&gt;0,N130*100/M130,0)</f>
        <v>0</v>
      </c>
    </row>
    <row r="131" spans="1:16" ht="18.75" hidden="1" x14ac:dyDescent="0.25">
      <c r="A131" s="174"/>
      <c r="B131" s="16"/>
      <c r="C131" s="16"/>
      <c r="D131" s="401" t="s">
        <v>21</v>
      </c>
      <c r="E131" s="16"/>
      <c r="F131" s="16"/>
      <c r="G131" s="17"/>
      <c r="H131" s="186" t="s">
        <v>12</v>
      </c>
      <c r="I131" s="18"/>
      <c r="J131" s="18"/>
      <c r="K131" s="19"/>
      <c r="L131" s="177">
        <f ca="1">L132+L133</f>
        <v>0</v>
      </c>
      <c r="M131" s="177">
        <f ca="1">M132+M133</f>
        <v>0</v>
      </c>
      <c r="N131" s="177">
        <f ca="1">N132+N133</f>
        <v>0</v>
      </c>
      <c r="O131" s="177">
        <f ca="1">IF(L131&gt;0,N131*100/L131,0)</f>
        <v>0</v>
      </c>
      <c r="P131" s="177">
        <f ca="1">IF(M131&gt;0,N131*100/M131,0)</f>
        <v>0</v>
      </c>
    </row>
    <row r="132" spans="1:16" ht="18.75" hidden="1" x14ac:dyDescent="0.25">
      <c r="A132" s="174"/>
      <c r="B132" s="16"/>
      <c r="C132" s="16"/>
      <c r="D132" s="16"/>
      <c r="E132" s="182" t="s">
        <v>18</v>
      </c>
      <c r="F132" s="16"/>
      <c r="G132" s="17"/>
      <c r="H132" s="189" t="s">
        <v>12</v>
      </c>
      <c r="I132" s="18"/>
      <c r="J132" s="18"/>
      <c r="K132" s="19"/>
      <c r="L132" s="184">
        <v>0</v>
      </c>
      <c r="M132" s="184">
        <v>0</v>
      </c>
      <c r="N132" s="184">
        <v>0</v>
      </c>
      <c r="O132" s="184">
        <f>IF(L132&gt;0,N132*100/L132,0)</f>
        <v>0</v>
      </c>
      <c r="P132" s="184">
        <f>IF(M132&gt;0,N132*100/M132,0)</f>
        <v>0</v>
      </c>
    </row>
    <row r="133" spans="1:16" ht="18.75" hidden="1" x14ac:dyDescent="0.25">
      <c r="A133" s="174"/>
      <c r="B133" s="16"/>
      <c r="C133" s="16"/>
      <c r="D133" s="16"/>
      <c r="E133" s="185" t="s">
        <v>19</v>
      </c>
      <c r="F133" s="16"/>
      <c r="G133" s="17"/>
      <c r="H133" s="186" t="s">
        <v>12</v>
      </c>
      <c r="I133" s="18"/>
      <c r="J133" s="18"/>
      <c r="K133" s="19"/>
      <c r="L133" s="177">
        <f ca="1">IFERROR(__xludf.DUMMYFUNCTION("IMPORTRANGE(""https://docs.google.com/spreadsheets/d/1-uDff_7J0KD5mKrp0Vvzr7lt3OU09vwQwhkpOPPYv2Y/edit?usp=sharing"",""งบพรบ!BJ20"")"),0)</f>
        <v>0</v>
      </c>
      <c r="M133" s="177">
        <f ca="1">IFERROR(__xludf.DUMMYFUNCTION("IMPORTRANGE(""https://docs.google.com/spreadsheets/d/1-uDff_7J0KD5mKrp0Vvzr7lt3OU09vwQwhkpOPPYv2Y/edit?usp=sharing"",""งบพรบ!BM20"")"),0)</f>
        <v>0</v>
      </c>
      <c r="N133" s="177">
        <f ca="1">IFERROR(__xludf.DUMMYFUNCTION("IMPORTRANGE(""https://docs.google.com/spreadsheets/d/1-uDff_7J0KD5mKrp0Vvzr7lt3OU09vwQwhkpOPPYv2Y/edit?usp=sharing"",""งบพรบ!BO20"")"),0)</f>
        <v>0</v>
      </c>
      <c r="O133" s="177">
        <f ca="1">IF(L133&gt;0,N133*100/L133,0)</f>
        <v>0</v>
      </c>
      <c r="P133" s="177">
        <f ca="1">IF(M133&gt;0,N133*100/M133,0)</f>
        <v>0</v>
      </c>
    </row>
    <row r="134" spans="1:16" ht="19.5" x14ac:dyDescent="0.3">
      <c r="A134" s="125" t="s">
        <v>51</v>
      </c>
      <c r="B134" s="126"/>
      <c r="C134" s="190"/>
      <c r="D134" s="126"/>
      <c r="E134" s="126"/>
      <c r="F134" s="126"/>
      <c r="G134" s="126"/>
      <c r="H134" s="126"/>
      <c r="I134" s="191"/>
      <c r="J134" s="191"/>
      <c r="K134" s="192"/>
      <c r="L134" s="130"/>
      <c r="M134" s="130"/>
      <c r="N134" s="130"/>
      <c r="O134" s="130"/>
      <c r="P134" s="130"/>
    </row>
    <row r="135" spans="1:16" ht="19.5" x14ac:dyDescent="0.3">
      <c r="A135" s="131"/>
      <c r="B135" s="132" t="s">
        <v>52</v>
      </c>
      <c r="C135" s="193"/>
      <c r="D135" s="133"/>
      <c r="E135" s="26"/>
      <c r="F135" s="26"/>
      <c r="G135" s="26"/>
      <c r="H135" s="26"/>
      <c r="I135" s="194"/>
      <c r="J135" s="31"/>
      <c r="K135" s="32"/>
      <c r="L135" s="32"/>
      <c r="M135" s="32"/>
      <c r="N135" s="32"/>
      <c r="O135" s="32"/>
      <c r="P135" s="32"/>
    </row>
    <row r="136" spans="1:16" ht="19.5" x14ac:dyDescent="0.3">
      <c r="A136" s="131"/>
      <c r="B136" s="26"/>
      <c r="C136" s="195" t="s">
        <v>53</v>
      </c>
      <c r="D136" s="133"/>
      <c r="E136" s="26"/>
      <c r="F136" s="26"/>
      <c r="G136" s="29"/>
      <c r="H136" s="134" t="s">
        <v>54</v>
      </c>
      <c r="I136" s="135">
        <f ca="1">I154</f>
        <v>2</v>
      </c>
      <c r="J136" s="135">
        <f>J154</f>
        <v>0</v>
      </c>
      <c r="K136" s="33">
        <f ca="1">IF(I136&gt;0,J136*100/I136,0)</f>
        <v>0</v>
      </c>
      <c r="L136" s="32"/>
      <c r="M136" s="32"/>
      <c r="N136" s="32"/>
      <c r="O136" s="32"/>
      <c r="P136" s="32"/>
    </row>
    <row r="137" spans="1:16" ht="19.5" x14ac:dyDescent="0.3">
      <c r="A137" s="131"/>
      <c r="B137" s="26"/>
      <c r="C137" s="195" t="s">
        <v>55</v>
      </c>
      <c r="D137" s="133"/>
      <c r="E137" s="26"/>
      <c r="F137" s="26"/>
      <c r="G137" s="29"/>
      <c r="H137" s="134" t="s">
        <v>33</v>
      </c>
      <c r="I137" s="135">
        <f ca="1">I152</f>
        <v>40</v>
      </c>
      <c r="J137" s="135">
        <f>J152</f>
        <v>0</v>
      </c>
      <c r="K137" s="33">
        <f ca="1">IF(I137&gt;0,J137*100/I137,0)</f>
        <v>0</v>
      </c>
      <c r="L137" s="32"/>
      <c r="M137" s="32"/>
      <c r="N137" s="32"/>
      <c r="O137" s="32"/>
      <c r="P137" s="32"/>
    </row>
    <row r="138" spans="1:16" ht="19.5" x14ac:dyDescent="0.3">
      <c r="A138" s="131"/>
      <c r="B138" s="26"/>
      <c r="C138" s="193"/>
      <c r="D138" s="133"/>
      <c r="E138" s="26"/>
      <c r="F138" s="26"/>
      <c r="G138" s="29"/>
      <c r="H138" s="134" t="s">
        <v>56</v>
      </c>
      <c r="I138" s="135">
        <f ca="1">I153</f>
        <v>4</v>
      </c>
      <c r="J138" s="135">
        <f>J153</f>
        <v>0</v>
      </c>
      <c r="K138" s="33">
        <f ca="1">IF(I138&gt;0,J138*100/I138,0)</f>
        <v>0</v>
      </c>
      <c r="L138" s="32"/>
      <c r="M138" s="32"/>
      <c r="N138" s="32"/>
      <c r="O138" s="32"/>
      <c r="P138" s="32"/>
    </row>
    <row r="139" spans="1:16" ht="19.5" x14ac:dyDescent="0.3">
      <c r="A139" s="136"/>
      <c r="B139" s="41"/>
      <c r="C139" s="197" t="s">
        <v>16</v>
      </c>
      <c r="D139" s="397" t="s">
        <v>17</v>
      </c>
      <c r="E139" s="41"/>
      <c r="F139" s="41"/>
      <c r="G139" s="43"/>
      <c r="H139" s="139" t="s">
        <v>12</v>
      </c>
      <c r="I139" s="45"/>
      <c r="J139" s="45"/>
      <c r="K139" s="46"/>
      <c r="L139" s="140">
        <f ca="1">L140+L141</f>
        <v>74800</v>
      </c>
      <c r="M139" s="140">
        <f ca="1">M140+M141</f>
        <v>69800</v>
      </c>
      <c r="N139" s="140">
        <f ca="1">N140+N141</f>
        <v>0</v>
      </c>
      <c r="O139" s="140">
        <f ca="1">IF(L139&gt;0,N139*100/L139,0)</f>
        <v>0</v>
      </c>
      <c r="P139" s="140">
        <f ca="1">IF(M139&gt;0,N139*100/M139,0)</f>
        <v>0</v>
      </c>
    </row>
    <row r="140" spans="1:16" ht="18.75" hidden="1" x14ac:dyDescent="0.25">
      <c r="A140" s="136"/>
      <c r="B140" s="41"/>
      <c r="C140" s="41"/>
      <c r="D140" s="41"/>
      <c r="E140" s="279" t="s">
        <v>18</v>
      </c>
      <c r="F140" s="41"/>
      <c r="G140" s="43"/>
      <c r="H140" s="141" t="s">
        <v>12</v>
      </c>
      <c r="I140" s="45"/>
      <c r="J140" s="45"/>
      <c r="K140" s="46"/>
      <c r="L140" s="50">
        <f>L143+L146</f>
        <v>0</v>
      </c>
      <c r="M140" s="50">
        <f>M143+M146</f>
        <v>0</v>
      </c>
      <c r="N140" s="50">
        <f>N143+N146</f>
        <v>0</v>
      </c>
      <c r="O140" s="50">
        <f>IF(L140&gt;0,N140*100/L140,0)</f>
        <v>0</v>
      </c>
      <c r="P140" s="50">
        <f>IF(M140&gt;0,N140*100/M140,0)</f>
        <v>0</v>
      </c>
    </row>
    <row r="141" spans="1:16" ht="18.75" x14ac:dyDescent="0.25">
      <c r="A141" s="136"/>
      <c r="B141" s="41"/>
      <c r="C141" s="41"/>
      <c r="D141" s="41"/>
      <c r="E141" s="254" t="s">
        <v>19</v>
      </c>
      <c r="F141" s="41"/>
      <c r="G141" s="43"/>
      <c r="H141" s="142" t="s">
        <v>12</v>
      </c>
      <c r="I141" s="45"/>
      <c r="J141" s="45"/>
      <c r="K141" s="46"/>
      <c r="L141" s="47">
        <f ca="1">L144+L147</f>
        <v>74800</v>
      </c>
      <c r="M141" s="47">
        <f ca="1">M144+M147</f>
        <v>69800</v>
      </c>
      <c r="N141" s="47">
        <f ca="1">N144+N147</f>
        <v>0</v>
      </c>
      <c r="O141" s="47">
        <f ca="1">IF(L141&gt;0,N141*100/L141,0)</f>
        <v>0</v>
      </c>
      <c r="P141" s="47">
        <f ca="1">IF(M141&gt;0,N141*100/M141,0)</f>
        <v>0</v>
      </c>
    </row>
    <row r="142" spans="1:16" ht="18.75" x14ac:dyDescent="0.25">
      <c r="A142" s="136"/>
      <c r="B142" s="41"/>
      <c r="C142" s="41"/>
      <c r="D142" s="42" t="s">
        <v>20</v>
      </c>
      <c r="E142" s="41"/>
      <c r="F142" s="41"/>
      <c r="G142" s="43"/>
      <c r="H142" s="143" t="s">
        <v>12</v>
      </c>
      <c r="I142" s="144"/>
      <c r="J142" s="144"/>
      <c r="K142" s="145"/>
      <c r="L142" s="47">
        <f ca="1">L143+L144</f>
        <v>74800</v>
      </c>
      <c r="M142" s="47">
        <f ca="1">M143+M144</f>
        <v>69800</v>
      </c>
      <c r="N142" s="47">
        <f ca="1">N143+N144</f>
        <v>0</v>
      </c>
      <c r="O142" s="47">
        <f ca="1">IF(L142&gt;0,N142*100/L142,0)</f>
        <v>0</v>
      </c>
      <c r="P142" s="47">
        <f ca="1">IF(M142&gt;0,N142*100/M142,0)</f>
        <v>0</v>
      </c>
    </row>
    <row r="143" spans="1:16" ht="18.75" hidden="1" x14ac:dyDescent="0.25">
      <c r="A143" s="136"/>
      <c r="B143" s="41"/>
      <c r="C143" s="41"/>
      <c r="D143" s="41"/>
      <c r="E143" s="279" t="s">
        <v>34</v>
      </c>
      <c r="F143" s="41"/>
      <c r="G143" s="43"/>
      <c r="H143" s="146" t="s">
        <v>12</v>
      </c>
      <c r="I143" s="144"/>
      <c r="J143" s="144"/>
      <c r="K143" s="145"/>
      <c r="L143" s="50">
        <v>0</v>
      </c>
      <c r="M143" s="50">
        <v>0</v>
      </c>
      <c r="N143" s="50">
        <v>0</v>
      </c>
      <c r="O143" s="50">
        <f>IF(L143&gt;0,N143*100/L143,0)</f>
        <v>0</v>
      </c>
      <c r="P143" s="50">
        <f>IF(M143&gt;0,N143*100/M143,0)</f>
        <v>0</v>
      </c>
    </row>
    <row r="144" spans="1:16" ht="18.75" x14ac:dyDescent="0.25">
      <c r="A144" s="136"/>
      <c r="B144" s="41"/>
      <c r="C144" s="41"/>
      <c r="D144" s="41"/>
      <c r="E144" s="254" t="s">
        <v>35</v>
      </c>
      <c r="F144" s="41"/>
      <c r="G144" s="43"/>
      <c r="H144" s="143" t="s">
        <v>12</v>
      </c>
      <c r="I144" s="144"/>
      <c r="J144" s="144"/>
      <c r="K144" s="145"/>
      <c r="L144" s="47">
        <f ca="1">IFERROR(__xludf.DUMMYFUNCTION("IMPORTRANGE(""https://docs.google.com/spreadsheets/d/1-uDff_7J0KD5mKrp0Vvzr7lt3OU09vwQwhkpOPPYv2Y/edit?usp=sharing"",""งบพรบ!BQ20"")"),74800)</f>
        <v>74800</v>
      </c>
      <c r="M144" s="47">
        <f ca="1">IFERROR(__xludf.DUMMYFUNCTION("IMPORTRANGE(""https://docs.google.com/spreadsheets/d/1-uDff_7J0KD5mKrp0Vvzr7lt3OU09vwQwhkpOPPYv2Y/edit?usp=sharing"",""งบพรบ!BV20"")"),69800)</f>
        <v>69800</v>
      </c>
      <c r="N144" s="47">
        <f ca="1">IFERROR(__xludf.DUMMYFUNCTION("IMPORTRANGE(""https://docs.google.com/spreadsheets/d/1-uDff_7J0KD5mKrp0Vvzr7lt3OU09vwQwhkpOPPYv2Y/edit?usp=sharing"",""งบพรบ!BX20"")"),0)</f>
        <v>0</v>
      </c>
      <c r="O144" s="47">
        <f ca="1">IF(L144&gt;0,N144*100/L144,0)</f>
        <v>0</v>
      </c>
      <c r="P144" s="47">
        <f ca="1">IF(M144&gt;0,N144*100/M144,0)</f>
        <v>0</v>
      </c>
    </row>
    <row r="145" spans="1:16" ht="18.75" x14ac:dyDescent="0.25">
      <c r="A145" s="136"/>
      <c r="B145" s="41"/>
      <c r="C145" s="41"/>
      <c r="D145" s="42" t="s">
        <v>21</v>
      </c>
      <c r="E145" s="41"/>
      <c r="F145" s="41"/>
      <c r="G145" s="43"/>
      <c r="H145" s="147" t="s">
        <v>12</v>
      </c>
      <c r="I145" s="144"/>
      <c r="J145" s="144"/>
      <c r="K145" s="145"/>
      <c r="L145" s="47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</row>
    <row r="146" spans="1:16" ht="18.75" hidden="1" x14ac:dyDescent="0.25">
      <c r="A146" s="136"/>
      <c r="B146" s="41"/>
      <c r="C146" s="41"/>
      <c r="D146" s="41"/>
      <c r="E146" s="279" t="s">
        <v>18</v>
      </c>
      <c r="F146" s="41"/>
      <c r="G146" s="43"/>
      <c r="H146" s="146" t="s">
        <v>12</v>
      </c>
      <c r="I146" s="144"/>
      <c r="J146" s="144"/>
      <c r="K146" s="145"/>
      <c r="L146" s="50">
        <v>0</v>
      </c>
      <c r="M146" s="50">
        <v>0</v>
      </c>
      <c r="N146" s="50">
        <v>0</v>
      </c>
      <c r="O146" s="50">
        <f>IF(L146&gt;0,N146*100/L146,0)</f>
        <v>0</v>
      </c>
      <c r="P146" s="50">
        <f>IF(M146&gt;0,N146*100/M146,0)</f>
        <v>0</v>
      </c>
    </row>
    <row r="147" spans="1:16" ht="18.75" x14ac:dyDescent="0.25">
      <c r="A147" s="136"/>
      <c r="B147" s="41"/>
      <c r="C147" s="41"/>
      <c r="D147" s="41"/>
      <c r="E147" s="254" t="s">
        <v>19</v>
      </c>
      <c r="F147" s="41"/>
      <c r="G147" s="43"/>
      <c r="H147" s="147" t="s">
        <v>12</v>
      </c>
      <c r="I147" s="144"/>
      <c r="J147" s="144"/>
      <c r="K147" s="145"/>
      <c r="L147" s="47">
        <f ca="1">IFERROR(__xludf.DUMMYFUNCTION("IMPORTRANGE(""https://docs.google.com/spreadsheets/d/1-uDff_7J0KD5mKrp0Vvzr7lt3OU09vwQwhkpOPPYv2Y/edit?usp=sharing"",""งบพรบ!BT20"")"),0)</f>
        <v>0</v>
      </c>
      <c r="M147" s="47">
        <f ca="1">IFERROR(__xludf.DUMMYFUNCTION("IMPORTRANGE(""https://docs.google.com/spreadsheets/d/1-uDff_7J0KD5mKrp0Vvzr7lt3OU09vwQwhkpOPPYv2Y/edit?usp=sharing"",""งบพรบ!BW20"")"),0)</f>
        <v>0</v>
      </c>
      <c r="N147" s="47">
        <f ca="1">IFERROR(__xludf.DUMMYFUNCTION("IMPORTRANGE(""https://docs.google.com/spreadsheets/d/1-uDff_7J0KD5mKrp0Vvzr7lt3OU09vwQwhkpOPPYv2Y/edit?usp=sharing"",""งบพรบ!BY20"")"),0)</f>
        <v>0</v>
      </c>
      <c r="O147" s="47">
        <f ca="1">IF(L147&gt;0,N147*100/L147,0)</f>
        <v>0</v>
      </c>
      <c r="P147" s="47">
        <f ca="1">IF(M147&gt;0,N147*100/M147,0)</f>
        <v>0</v>
      </c>
    </row>
    <row r="148" spans="1:16" ht="19.5" x14ac:dyDescent="0.3">
      <c r="A148" s="148"/>
      <c r="B148" s="149"/>
      <c r="C148" s="197" t="s">
        <v>16</v>
      </c>
      <c r="D148" s="395" t="s">
        <v>36</v>
      </c>
      <c r="E148" s="151"/>
      <c r="F148" s="151"/>
      <c r="G148" s="152"/>
      <c r="H148" s="196"/>
      <c r="I148" s="45"/>
      <c r="J148" s="45"/>
      <c r="K148" s="46"/>
      <c r="L148" s="46"/>
      <c r="M148" s="46"/>
      <c r="N148" s="46"/>
      <c r="O148" s="46"/>
      <c r="P148" s="46"/>
    </row>
    <row r="149" spans="1:16" ht="18.75" x14ac:dyDescent="0.25">
      <c r="A149" s="136"/>
      <c r="B149" s="41"/>
      <c r="C149" s="41"/>
      <c r="D149" s="254" t="s">
        <v>57</v>
      </c>
      <c r="E149" s="41"/>
      <c r="F149" s="41"/>
      <c r="G149" s="43"/>
      <c r="H149" s="196"/>
      <c r="I149" s="45"/>
      <c r="J149" s="250">
        <v>0</v>
      </c>
      <c r="K149" s="46"/>
      <c r="L149" s="46"/>
      <c r="M149" s="46"/>
      <c r="N149" s="46"/>
      <c r="O149" s="46"/>
      <c r="P149" s="46"/>
    </row>
    <row r="150" spans="1:16" ht="19.5" x14ac:dyDescent="0.3">
      <c r="A150" s="136"/>
      <c r="B150" s="41"/>
      <c r="C150" s="41"/>
      <c r="D150" s="155"/>
      <c r="E150" s="197" t="s">
        <v>58</v>
      </c>
      <c r="F150" s="41"/>
      <c r="G150" s="43"/>
      <c r="H150" s="147" t="s">
        <v>33</v>
      </c>
      <c r="I150" s="169">
        <f ca="1">IFERROR(__xludf.DUMMYFUNCTION("IMPORTRANGE(""https://docs.google.com/spreadsheets/d/1eHaY18a8A9IcSdp1K8H6x8fbOy06t2VsZHhMHf-1x7Y/edit?usp=sharing"",""แผน!U20"")"),20)</f>
        <v>20</v>
      </c>
      <c r="J150" s="250">
        <v>0</v>
      </c>
      <c r="K150" s="47">
        <f ca="1">IF(I150&gt;0,J150*100/I150,0)</f>
        <v>0</v>
      </c>
      <c r="L150" s="46"/>
      <c r="M150" s="46"/>
      <c r="N150" s="46"/>
      <c r="O150" s="46"/>
      <c r="P150" s="46"/>
    </row>
    <row r="151" spans="1:16" ht="18.75" x14ac:dyDescent="0.25">
      <c r="A151" s="136"/>
      <c r="B151" s="41"/>
      <c r="C151" s="41"/>
      <c r="D151" s="155"/>
      <c r="E151" s="41"/>
      <c r="F151" s="41"/>
      <c r="G151" s="43"/>
      <c r="H151" s="147" t="s">
        <v>56</v>
      </c>
      <c r="I151" s="169">
        <f ca="1">IFERROR(__xludf.DUMMYFUNCTION("IMPORTRANGE(""https://docs.google.com/spreadsheets/d/1eHaY18a8A9IcSdp1K8H6x8fbOy06t2VsZHhMHf-1x7Y/edit?usp=sharing"",""แผน!V20"")"),2)</f>
        <v>2</v>
      </c>
      <c r="J151" s="250">
        <v>0</v>
      </c>
      <c r="K151" s="47">
        <f ca="1">IF(I151&gt;0,J151*100/I151,0)</f>
        <v>0</v>
      </c>
      <c r="L151" s="46"/>
      <c r="M151" s="46"/>
      <c r="N151" s="46"/>
      <c r="O151" s="46"/>
      <c r="P151" s="46"/>
    </row>
    <row r="152" spans="1:16" ht="19.5" x14ac:dyDescent="0.3">
      <c r="A152" s="136"/>
      <c r="B152" s="41"/>
      <c r="C152" s="41"/>
      <c r="D152" s="155"/>
      <c r="E152" s="197" t="s">
        <v>59</v>
      </c>
      <c r="F152" s="41"/>
      <c r="G152" s="43"/>
      <c r="H152" s="147" t="s">
        <v>33</v>
      </c>
      <c r="I152" s="169">
        <f ca="1">IFERROR(__xludf.DUMMYFUNCTION("IMPORTRANGE(""https://docs.google.com/spreadsheets/d/1eHaY18a8A9IcSdp1K8H6x8fbOy06t2VsZHhMHf-1x7Y/edit?usp=sharing"",""แผน!W20"")"),40)</f>
        <v>40</v>
      </c>
      <c r="J152" s="250">
        <v>0</v>
      </c>
      <c r="K152" s="47">
        <f ca="1">IF(I152&gt;0,J152*100/I152,0)</f>
        <v>0</v>
      </c>
      <c r="L152" s="46"/>
      <c r="M152" s="46"/>
      <c r="N152" s="46"/>
      <c r="O152" s="46"/>
      <c r="P152" s="46"/>
    </row>
    <row r="153" spans="1:16" ht="18.75" x14ac:dyDescent="0.25">
      <c r="A153" s="136"/>
      <c r="B153" s="41"/>
      <c r="C153" s="41"/>
      <c r="D153" s="41"/>
      <c r="E153" s="41"/>
      <c r="F153" s="41"/>
      <c r="G153" s="43"/>
      <c r="H153" s="147" t="s">
        <v>56</v>
      </c>
      <c r="I153" s="169">
        <f ca="1">IFERROR(__xludf.DUMMYFUNCTION("IMPORTRANGE(""https://docs.google.com/spreadsheets/d/1eHaY18a8A9IcSdp1K8H6x8fbOy06t2VsZHhMHf-1x7Y/edit?usp=sharing"",""แผน!X20"")"),4)</f>
        <v>4</v>
      </c>
      <c r="J153" s="250">
        <v>0</v>
      </c>
      <c r="K153" s="47">
        <f ca="1">IF(I153&gt;0,J153*100/I153,0)</f>
        <v>0</v>
      </c>
      <c r="L153" s="46"/>
      <c r="M153" s="46"/>
      <c r="N153" s="46"/>
      <c r="O153" s="46"/>
      <c r="P153" s="46"/>
    </row>
    <row r="154" spans="1:16" ht="18.75" x14ac:dyDescent="0.25">
      <c r="A154" s="136"/>
      <c r="B154" s="41"/>
      <c r="C154" s="41"/>
      <c r="D154" s="254" t="s">
        <v>60</v>
      </c>
      <c r="E154" s="41"/>
      <c r="F154" s="41"/>
      <c r="G154" s="43"/>
      <c r="H154" s="147" t="s">
        <v>54</v>
      </c>
      <c r="I154" s="169">
        <f ca="1">IFERROR(__xludf.DUMMYFUNCTION("IMPORTRANGE(""https://docs.google.com/spreadsheets/d/1eHaY18a8A9IcSdp1K8H6x8fbOy06t2VsZHhMHf-1x7Y/edit?usp=sharing"",""แผน!Y20"")"),2)</f>
        <v>2</v>
      </c>
      <c r="J154" s="250">
        <v>0</v>
      </c>
      <c r="K154" s="47">
        <f ca="1">IF(I154&gt;0,J154*100/I154,0)</f>
        <v>0</v>
      </c>
      <c r="L154" s="46"/>
      <c r="M154" s="46"/>
      <c r="N154" s="46"/>
      <c r="O154" s="46"/>
      <c r="P154" s="46"/>
    </row>
    <row r="155" spans="1:16" ht="19.5" x14ac:dyDescent="0.3">
      <c r="A155" s="125" t="s">
        <v>61</v>
      </c>
      <c r="B155" s="126"/>
      <c r="C155" s="190"/>
      <c r="D155" s="126"/>
      <c r="E155" s="126"/>
      <c r="F155" s="126"/>
      <c r="G155" s="126"/>
      <c r="H155" s="126"/>
      <c r="I155" s="191"/>
      <c r="J155" s="191"/>
      <c r="K155" s="192"/>
      <c r="L155" s="130"/>
      <c r="M155" s="130"/>
      <c r="N155" s="130"/>
      <c r="O155" s="130"/>
      <c r="P155" s="130"/>
    </row>
    <row r="156" spans="1:16" ht="19.5" x14ac:dyDescent="0.3">
      <c r="A156" s="131"/>
      <c r="B156" s="132" t="s">
        <v>62</v>
      </c>
      <c r="C156" s="26"/>
      <c r="D156" s="26"/>
      <c r="E156" s="26"/>
      <c r="F156" s="26"/>
      <c r="G156" s="29"/>
      <c r="H156" s="198" t="s">
        <v>33</v>
      </c>
      <c r="I156" s="135">
        <f ca="1">I167</f>
        <v>10</v>
      </c>
      <c r="J156" s="135">
        <f>J167</f>
        <v>0</v>
      </c>
      <c r="K156" s="33">
        <f ca="1">IF(I156&gt;0,J156*100/I156,0)</f>
        <v>0</v>
      </c>
      <c r="L156" s="32"/>
      <c r="M156" s="32"/>
      <c r="N156" s="32"/>
      <c r="O156" s="32"/>
      <c r="P156" s="32"/>
    </row>
    <row r="157" spans="1:16" ht="19.5" x14ac:dyDescent="0.3">
      <c r="A157" s="136"/>
      <c r="B157" s="41"/>
      <c r="C157" s="197" t="s">
        <v>16</v>
      </c>
      <c r="D157" s="397" t="s">
        <v>17</v>
      </c>
      <c r="E157" s="41"/>
      <c r="F157" s="41"/>
      <c r="G157" s="43"/>
      <c r="H157" s="139" t="s">
        <v>12</v>
      </c>
      <c r="I157" s="45"/>
      <c r="J157" s="45"/>
      <c r="K157" s="46"/>
      <c r="L157" s="140">
        <f ca="1">L158+L159</f>
        <v>3000</v>
      </c>
      <c r="M157" s="140">
        <f ca="1">M158+M159</f>
        <v>0</v>
      </c>
      <c r="N157" s="140">
        <f ca="1">N158+N159</f>
        <v>0</v>
      </c>
      <c r="O157" s="140">
        <f ca="1">IF(L157&gt;0,N157*100/L157,0)</f>
        <v>0</v>
      </c>
      <c r="P157" s="140">
        <f ca="1">IF(M157&gt;0,N157*100/M157,0)</f>
        <v>0</v>
      </c>
    </row>
    <row r="158" spans="1:16" ht="18.75" hidden="1" x14ac:dyDescent="0.25">
      <c r="A158" s="136"/>
      <c r="B158" s="41"/>
      <c r="C158" s="41"/>
      <c r="D158" s="41"/>
      <c r="E158" s="279" t="s">
        <v>18</v>
      </c>
      <c r="F158" s="41"/>
      <c r="G158" s="43"/>
      <c r="H158" s="141" t="s">
        <v>12</v>
      </c>
      <c r="I158" s="45"/>
      <c r="J158" s="45"/>
      <c r="K158" s="46"/>
      <c r="L158" s="50">
        <f>L161+L164</f>
        <v>0</v>
      </c>
      <c r="M158" s="50">
        <f>M161+M164</f>
        <v>0</v>
      </c>
      <c r="N158" s="50">
        <f>N161+N164</f>
        <v>0</v>
      </c>
      <c r="O158" s="50">
        <f>IF(L158&gt;0,N158*100/L158,0)</f>
        <v>0</v>
      </c>
      <c r="P158" s="50">
        <f>IF(M158&gt;0,N158*100/M158,0)</f>
        <v>0</v>
      </c>
    </row>
    <row r="159" spans="1:16" ht="18.75" x14ac:dyDescent="0.25">
      <c r="A159" s="136"/>
      <c r="B159" s="41"/>
      <c r="C159" s="41"/>
      <c r="D159" s="41"/>
      <c r="E159" s="254" t="s">
        <v>19</v>
      </c>
      <c r="F159" s="41"/>
      <c r="G159" s="43"/>
      <c r="H159" s="142" t="s">
        <v>12</v>
      </c>
      <c r="I159" s="45"/>
      <c r="J159" s="45"/>
      <c r="K159" s="46"/>
      <c r="L159" s="47">
        <f ca="1">L162+L165</f>
        <v>3000</v>
      </c>
      <c r="M159" s="47">
        <f ca="1">M162+M165</f>
        <v>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</row>
    <row r="160" spans="1:16" ht="18.75" x14ac:dyDescent="0.25">
      <c r="A160" s="136"/>
      <c r="B160" s="41"/>
      <c r="C160" s="41"/>
      <c r="D160" s="42" t="s">
        <v>20</v>
      </c>
      <c r="E160" s="41"/>
      <c r="F160" s="41"/>
      <c r="G160" s="43"/>
      <c r="H160" s="143" t="s">
        <v>12</v>
      </c>
      <c r="I160" s="144"/>
      <c r="J160" s="144"/>
      <c r="K160" s="145"/>
      <c r="L160" s="47">
        <f ca="1">L161+L162</f>
        <v>3000</v>
      </c>
      <c r="M160" s="47">
        <f ca="1">M161+M162</f>
        <v>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</row>
    <row r="161" spans="1:16" ht="18.75" hidden="1" x14ac:dyDescent="0.25">
      <c r="A161" s="136"/>
      <c r="B161" s="41"/>
      <c r="C161" s="41"/>
      <c r="D161" s="41"/>
      <c r="E161" s="279" t="s">
        <v>34</v>
      </c>
      <c r="F161" s="41"/>
      <c r="G161" s="43"/>
      <c r="H161" s="146" t="s">
        <v>12</v>
      </c>
      <c r="I161" s="144"/>
      <c r="J161" s="144"/>
      <c r="K161" s="145"/>
      <c r="L161" s="50">
        <v>0</v>
      </c>
      <c r="M161" s="50">
        <v>0</v>
      </c>
      <c r="N161" s="50">
        <v>0</v>
      </c>
      <c r="O161" s="50">
        <f>IF(L161&gt;0,N161*100/L161,0)</f>
        <v>0</v>
      </c>
      <c r="P161" s="50">
        <f>IF(M161&gt;0,N161*100/M161,0)</f>
        <v>0</v>
      </c>
    </row>
    <row r="162" spans="1:16" ht="18.75" x14ac:dyDescent="0.25">
      <c r="A162" s="136"/>
      <c r="B162" s="41"/>
      <c r="C162" s="41"/>
      <c r="D162" s="41"/>
      <c r="E162" s="254" t="s">
        <v>35</v>
      </c>
      <c r="F162" s="41"/>
      <c r="G162" s="43"/>
      <c r="H162" s="143" t="s">
        <v>12</v>
      </c>
      <c r="I162" s="144"/>
      <c r="J162" s="144"/>
      <c r="K162" s="145"/>
      <c r="L162" s="47">
        <f ca="1">IFERROR(__xludf.DUMMYFUNCTION("IMPORTRANGE(""https://docs.google.com/spreadsheets/d/1-uDff_7J0KD5mKrp0Vvzr7lt3OU09vwQwhkpOPPYv2Y/edit?usp=sharing"",""งบพรบ!CA20"")"),3000)</f>
        <v>3000</v>
      </c>
      <c r="M162" s="47">
        <f ca="1">IFERROR(__xludf.DUMMYFUNCTION("IMPORTRANGE(""https://docs.google.com/spreadsheets/d/1-uDff_7J0KD5mKrp0Vvzr7lt3OU09vwQwhkpOPPYv2Y/edit?usp=sharing"",""งบพรบ!CF20"")"),0)</f>
        <v>0</v>
      </c>
      <c r="N162" s="47">
        <f ca="1">IFERROR(__xludf.DUMMYFUNCTION("IMPORTRANGE(""https://docs.google.com/spreadsheets/d/1-uDff_7J0KD5mKrp0Vvzr7lt3OU09vwQwhkpOPPYv2Y/edit?usp=sharing"",""งบพรบ!CH20"")"),0)</f>
        <v>0</v>
      </c>
      <c r="O162" s="47">
        <f ca="1">IF(L162&gt;0,N162*100/L162,0)</f>
        <v>0</v>
      </c>
      <c r="P162" s="47">
        <f ca="1">IF(M162&gt;0,N162*100/M162,0)</f>
        <v>0</v>
      </c>
    </row>
    <row r="163" spans="1:16" ht="18.75" x14ac:dyDescent="0.25">
      <c r="A163" s="136"/>
      <c r="B163" s="41"/>
      <c r="C163" s="41"/>
      <c r="D163" s="42" t="s">
        <v>21</v>
      </c>
      <c r="E163" s="41"/>
      <c r="F163" s="41"/>
      <c r="G163" s="43"/>
      <c r="H163" s="147" t="s">
        <v>12</v>
      </c>
      <c r="I163" s="144"/>
      <c r="J163" s="144"/>
      <c r="K163" s="145"/>
      <c r="L163" s="47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</row>
    <row r="164" spans="1:16" ht="18.75" hidden="1" x14ac:dyDescent="0.25">
      <c r="A164" s="136"/>
      <c r="B164" s="41"/>
      <c r="C164" s="41"/>
      <c r="D164" s="41"/>
      <c r="E164" s="279" t="s">
        <v>18</v>
      </c>
      <c r="F164" s="41"/>
      <c r="G164" s="43"/>
      <c r="H164" s="146" t="s">
        <v>12</v>
      </c>
      <c r="I164" s="144"/>
      <c r="J164" s="144"/>
      <c r="K164" s="145"/>
      <c r="L164" s="50">
        <v>0</v>
      </c>
      <c r="M164" s="50">
        <v>0</v>
      </c>
      <c r="N164" s="50">
        <v>0</v>
      </c>
      <c r="O164" s="50">
        <f>IF(L164&gt;0,N164*100/L164,0)</f>
        <v>0</v>
      </c>
      <c r="P164" s="50">
        <f>IF(M164&gt;0,N164*100/M164,0)</f>
        <v>0</v>
      </c>
    </row>
    <row r="165" spans="1:16" ht="18.75" x14ac:dyDescent="0.25">
      <c r="A165" s="136"/>
      <c r="B165" s="41"/>
      <c r="C165" s="41"/>
      <c r="D165" s="41"/>
      <c r="E165" s="254" t="s">
        <v>19</v>
      </c>
      <c r="F165" s="41"/>
      <c r="G165" s="43"/>
      <c r="H165" s="147" t="s">
        <v>12</v>
      </c>
      <c r="I165" s="144"/>
      <c r="J165" s="144"/>
      <c r="K165" s="145"/>
      <c r="L165" s="47">
        <f ca="1">IFERROR(__xludf.DUMMYFUNCTION("IMPORTRANGE(""https://docs.google.com/spreadsheets/d/1-uDff_7J0KD5mKrp0Vvzr7lt3OU09vwQwhkpOPPYv2Y/edit?usp=sharing"",""งบพรบ!CD20"")"),0)</f>
        <v>0</v>
      </c>
      <c r="M165" s="47">
        <f ca="1">IFERROR(__xludf.DUMMYFUNCTION("IMPORTRANGE(""https://docs.google.com/spreadsheets/d/1-uDff_7J0KD5mKrp0Vvzr7lt3OU09vwQwhkpOPPYv2Y/edit?usp=sharing"",""งบพรบ!CG20"")"),0)</f>
        <v>0</v>
      </c>
      <c r="N165" s="47">
        <f ca="1">IFERROR(__xludf.DUMMYFUNCTION("IMPORTRANGE(""https://docs.google.com/spreadsheets/d/1-uDff_7J0KD5mKrp0Vvzr7lt3OU09vwQwhkpOPPYv2Y/edit?usp=sharing"",""งบพรบ!CI20"")"),0)</f>
        <v>0</v>
      </c>
      <c r="O165" s="47">
        <f ca="1">IF(L165&gt;0,N165*100/L165,0)</f>
        <v>0</v>
      </c>
      <c r="P165" s="47">
        <f ca="1">IF(M165&gt;0,N165*100/M165,0)</f>
        <v>0</v>
      </c>
    </row>
    <row r="166" spans="1:16" ht="19.5" x14ac:dyDescent="0.3">
      <c r="A166" s="148"/>
      <c r="B166" s="149"/>
      <c r="C166" s="197" t="s">
        <v>16</v>
      </c>
      <c r="D166" s="395" t="s">
        <v>36</v>
      </c>
      <c r="E166" s="151"/>
      <c r="F166" s="151"/>
      <c r="G166" s="152"/>
      <c r="H166" s="196"/>
      <c r="I166" s="45"/>
      <c r="J166" s="45"/>
      <c r="K166" s="46"/>
      <c r="L166" s="46"/>
      <c r="M166" s="46"/>
      <c r="N166" s="46"/>
      <c r="O166" s="46"/>
      <c r="P166" s="46"/>
    </row>
    <row r="167" spans="1:16" ht="18.75" x14ac:dyDescent="0.25">
      <c r="A167" s="136"/>
      <c r="B167" s="41"/>
      <c r="C167" s="41"/>
      <c r="D167" s="254" t="s">
        <v>63</v>
      </c>
      <c r="E167" s="41"/>
      <c r="F167" s="41"/>
      <c r="G167" s="43"/>
      <c r="H167" s="147" t="s">
        <v>33</v>
      </c>
      <c r="I167" s="169">
        <f ca="1">IFERROR(__xludf.DUMMYFUNCTION("IMPORTRANGE(""https://docs.google.com/spreadsheets/d/1eHaY18a8A9IcSdp1K8H6x8fbOy06t2VsZHhMHf-1x7Y/edit?usp=sharing"",""แผน!Z20"")"),10)</f>
        <v>10</v>
      </c>
      <c r="J167" s="250">
        <v>0</v>
      </c>
      <c r="K167" s="47">
        <f ca="1">IF(I167&gt;0,J167*100/I167,0)</f>
        <v>0</v>
      </c>
      <c r="L167" s="46"/>
      <c r="M167" s="46"/>
      <c r="N167" s="46"/>
      <c r="O167" s="46"/>
      <c r="P167" s="46"/>
    </row>
    <row r="168" spans="1:16" ht="18.75" hidden="1" x14ac:dyDescent="0.25">
      <c r="A168" s="136"/>
      <c r="B168" s="41"/>
      <c r="C168" s="41"/>
      <c r="D168" s="279" t="s">
        <v>64</v>
      </c>
      <c r="E168" s="41"/>
      <c r="F168" s="41"/>
      <c r="G168" s="43"/>
      <c r="H168" s="199" t="s">
        <v>33</v>
      </c>
      <c r="I168" s="200">
        <f ca="1">I167</f>
        <v>10</v>
      </c>
      <c r="J168" s="201">
        <v>0</v>
      </c>
      <c r="K168" s="50">
        <f ca="1">IF(I168&gt;0,J168*100/I168,0)</f>
        <v>0</v>
      </c>
      <c r="L168" s="46"/>
      <c r="M168" s="46"/>
      <c r="N168" s="46"/>
      <c r="O168" s="46"/>
      <c r="P168" s="46"/>
    </row>
    <row r="169" spans="1:16" ht="18.75" hidden="1" x14ac:dyDescent="0.25">
      <c r="A169" s="202"/>
      <c r="B169" s="1"/>
      <c r="C169" s="1"/>
      <c r="D169" s="203" t="s">
        <v>65</v>
      </c>
      <c r="E169" s="1"/>
      <c r="F169" s="1"/>
      <c r="G169" s="54"/>
      <c r="H169" s="204" t="s">
        <v>33</v>
      </c>
      <c r="I169" s="205">
        <f ca="1">I167</f>
        <v>10</v>
      </c>
      <c r="J169" s="206">
        <v>0</v>
      </c>
      <c r="K169" s="207">
        <f ca="1">IF(I169&gt;0,J169*100/I169,0)</f>
        <v>0</v>
      </c>
      <c r="L169" s="57"/>
      <c r="M169" s="57"/>
      <c r="N169" s="57"/>
      <c r="O169" s="57"/>
      <c r="P169" s="57"/>
    </row>
    <row r="170" spans="1:16" ht="19.5" x14ac:dyDescent="0.3">
      <c r="A170" s="208" t="s">
        <v>66</v>
      </c>
      <c r="B170" s="209"/>
      <c r="C170" s="209"/>
      <c r="D170" s="209"/>
      <c r="E170" s="210"/>
      <c r="F170" s="210"/>
      <c r="G170" s="210"/>
      <c r="H170" s="210"/>
      <c r="I170" s="211"/>
      <c r="J170" s="211"/>
      <c r="K170" s="212"/>
      <c r="L170" s="212"/>
      <c r="M170" s="212"/>
      <c r="N170" s="212"/>
      <c r="O170" s="212"/>
      <c r="P170" s="213"/>
    </row>
    <row r="171" spans="1:16" ht="19.5" x14ac:dyDescent="0.3">
      <c r="A171" s="214" t="s">
        <v>67</v>
      </c>
      <c r="B171" s="215"/>
      <c r="C171" s="215"/>
      <c r="D171" s="216"/>
      <c r="E171" s="216"/>
      <c r="F171" s="216"/>
      <c r="G171" s="216"/>
      <c r="H171" s="217"/>
      <c r="I171" s="218"/>
      <c r="J171" s="218"/>
      <c r="K171" s="219"/>
      <c r="L171" s="219"/>
      <c r="M171" s="219"/>
      <c r="N171" s="219"/>
      <c r="O171" s="219"/>
      <c r="P171" s="219"/>
    </row>
    <row r="172" spans="1:16" ht="19.5" x14ac:dyDescent="0.3">
      <c r="A172" s="220"/>
      <c r="B172" s="221" t="s">
        <v>68</v>
      </c>
      <c r="C172" s="222"/>
      <c r="D172" s="151"/>
      <c r="E172" s="151"/>
      <c r="F172" s="151"/>
      <c r="G172" s="152"/>
      <c r="H172" s="223" t="s">
        <v>33</v>
      </c>
      <c r="I172" s="224">
        <f ca="1">I183+I184</f>
        <v>7</v>
      </c>
      <c r="J172" s="224">
        <f>J183+J184</f>
        <v>7</v>
      </c>
      <c r="K172" s="225">
        <f ca="1">IF(I172&gt;0,J172*100/I172,0)</f>
        <v>100</v>
      </c>
      <c r="L172" s="226"/>
      <c r="M172" s="226"/>
      <c r="N172" s="226"/>
      <c r="O172" s="226"/>
      <c r="P172" s="226"/>
    </row>
    <row r="173" spans="1:16" ht="19.5" x14ac:dyDescent="0.3">
      <c r="A173" s="136"/>
      <c r="B173" s="41"/>
      <c r="C173" s="197" t="s">
        <v>16</v>
      </c>
      <c r="D173" s="397" t="s">
        <v>17</v>
      </c>
      <c r="E173" s="41"/>
      <c r="F173" s="41"/>
      <c r="G173" s="43"/>
      <c r="H173" s="139" t="s">
        <v>12</v>
      </c>
      <c r="I173" s="45"/>
      <c r="J173" s="45"/>
      <c r="K173" s="46"/>
      <c r="L173" s="140">
        <f ca="1">L174+L175</f>
        <v>19590</v>
      </c>
      <c r="M173" s="140">
        <f ca="1">M174+M175</f>
        <v>19590</v>
      </c>
      <c r="N173" s="140">
        <f ca="1">N174+N175</f>
        <v>17105</v>
      </c>
      <c r="O173" s="140">
        <f ca="1">IF(L173&gt;0,N173*100/L173,0)</f>
        <v>87.314956610515566</v>
      </c>
      <c r="P173" s="140">
        <f ca="1">IF(M173&gt;0,N173*100/M173,0)</f>
        <v>87.314956610515566</v>
      </c>
    </row>
    <row r="174" spans="1:16" ht="18.75" hidden="1" x14ac:dyDescent="0.25">
      <c r="A174" s="136"/>
      <c r="B174" s="41"/>
      <c r="C174" s="41"/>
      <c r="D174" s="41"/>
      <c r="E174" s="279" t="s">
        <v>18</v>
      </c>
      <c r="F174" s="41"/>
      <c r="G174" s="43"/>
      <c r="H174" s="141" t="s">
        <v>12</v>
      </c>
      <c r="I174" s="45"/>
      <c r="J174" s="45"/>
      <c r="K174" s="46"/>
      <c r="L174" s="50">
        <f>L177+L180</f>
        <v>0</v>
      </c>
      <c r="M174" s="50">
        <f>M177+M180</f>
        <v>0</v>
      </c>
      <c r="N174" s="50">
        <f>N177+N180</f>
        <v>0</v>
      </c>
      <c r="O174" s="50">
        <f>IF(L174&gt;0,N174*100/L174,0)</f>
        <v>0</v>
      </c>
      <c r="P174" s="50">
        <f>IF(M174&gt;0,N174*100/M174,0)</f>
        <v>0</v>
      </c>
    </row>
    <row r="175" spans="1:16" ht="18.75" x14ac:dyDescent="0.25">
      <c r="A175" s="136"/>
      <c r="B175" s="41"/>
      <c r="C175" s="41"/>
      <c r="D175" s="41"/>
      <c r="E175" s="254" t="s">
        <v>19</v>
      </c>
      <c r="F175" s="41"/>
      <c r="G175" s="43"/>
      <c r="H175" s="142" t="s">
        <v>12</v>
      </c>
      <c r="I175" s="45"/>
      <c r="J175" s="45"/>
      <c r="K175" s="46"/>
      <c r="L175" s="47">
        <f ca="1">L178+L181</f>
        <v>19590</v>
      </c>
      <c r="M175" s="47">
        <f ca="1">M178+M181</f>
        <v>19590</v>
      </c>
      <c r="N175" s="47">
        <f ca="1">N178+N181</f>
        <v>17105</v>
      </c>
      <c r="O175" s="47">
        <f ca="1">IF(L175&gt;0,N175*100/L175,0)</f>
        <v>87.314956610515566</v>
      </c>
      <c r="P175" s="47">
        <f ca="1">IF(M175&gt;0,N175*100/M175,0)</f>
        <v>87.314956610515566</v>
      </c>
    </row>
    <row r="176" spans="1:16" ht="18.75" x14ac:dyDescent="0.25">
      <c r="A176" s="136"/>
      <c r="B176" s="41"/>
      <c r="C176" s="41"/>
      <c r="D176" s="42" t="s">
        <v>20</v>
      </c>
      <c r="E176" s="41"/>
      <c r="F176" s="41"/>
      <c r="G176" s="43"/>
      <c r="H176" s="143" t="s">
        <v>12</v>
      </c>
      <c r="I176" s="144"/>
      <c r="J176" s="144"/>
      <c r="K176" s="145"/>
      <c r="L176" s="47">
        <f ca="1">L177+L178</f>
        <v>19590</v>
      </c>
      <c r="M176" s="47">
        <f ca="1">M177+M178</f>
        <v>19590</v>
      </c>
      <c r="N176" s="47">
        <f ca="1">N177+N178</f>
        <v>17105</v>
      </c>
      <c r="O176" s="47">
        <f ca="1">IF(L176&gt;0,N176*100/L176,0)</f>
        <v>87.314956610515566</v>
      </c>
      <c r="P176" s="47">
        <f ca="1">IF(M176&gt;0,N176*100/M176,0)</f>
        <v>87.314956610515566</v>
      </c>
    </row>
    <row r="177" spans="1:16" ht="18.75" hidden="1" x14ac:dyDescent="0.25">
      <c r="A177" s="136"/>
      <c r="B177" s="41"/>
      <c r="C177" s="41"/>
      <c r="D177" s="41"/>
      <c r="E177" s="279" t="s">
        <v>34</v>
      </c>
      <c r="F177" s="41"/>
      <c r="G177" s="43"/>
      <c r="H177" s="146" t="s">
        <v>12</v>
      </c>
      <c r="I177" s="144"/>
      <c r="J177" s="144"/>
      <c r="K177" s="145"/>
      <c r="L177" s="50">
        <v>0</v>
      </c>
      <c r="M177" s="50">
        <v>0</v>
      </c>
      <c r="N177" s="50">
        <v>0</v>
      </c>
      <c r="O177" s="50">
        <f>IF(L177&gt;0,N177*100/L177,0)</f>
        <v>0</v>
      </c>
      <c r="P177" s="50">
        <f>IF(M177&gt;0,N177*100/M177,0)</f>
        <v>0</v>
      </c>
    </row>
    <row r="178" spans="1:16" ht="18.75" x14ac:dyDescent="0.25">
      <c r="A178" s="136"/>
      <c r="B178" s="41"/>
      <c r="C178" s="41"/>
      <c r="D178" s="41"/>
      <c r="E178" s="254" t="s">
        <v>35</v>
      </c>
      <c r="F178" s="41"/>
      <c r="G178" s="43"/>
      <c r="H178" s="143" t="s">
        <v>12</v>
      </c>
      <c r="I178" s="144"/>
      <c r="J178" s="144"/>
      <c r="K178" s="145"/>
      <c r="L178" s="47">
        <f ca="1">IFERROR(__xludf.DUMMYFUNCTION("IMPORTRANGE(""https://docs.google.com/spreadsheets/d/1-uDff_7J0KD5mKrp0Vvzr7lt3OU09vwQwhkpOPPYv2Y/edit?usp=sharing"",""งบพรบ!CK20"")"),19590)</f>
        <v>19590</v>
      </c>
      <c r="M178" s="47">
        <f ca="1">IFERROR(__xludf.DUMMYFUNCTION("IMPORTRANGE(""https://docs.google.com/spreadsheets/d/1-uDff_7J0KD5mKrp0Vvzr7lt3OU09vwQwhkpOPPYv2Y/edit?usp=sharing"",""งบพรบ!CP20"")"),19590)</f>
        <v>19590</v>
      </c>
      <c r="N178" s="47">
        <f ca="1">IFERROR(__xludf.DUMMYFUNCTION("IMPORTRANGE(""https://docs.google.com/spreadsheets/d/1-uDff_7J0KD5mKrp0Vvzr7lt3OU09vwQwhkpOPPYv2Y/edit?usp=sharing"",""งบพรบ!CR20"")"),17105)</f>
        <v>17105</v>
      </c>
      <c r="O178" s="47">
        <f ca="1">IF(L178&gt;0,N178*100/L178,0)</f>
        <v>87.314956610515566</v>
      </c>
      <c r="P178" s="47">
        <f ca="1">IF(M178&gt;0,N178*100/M178,0)</f>
        <v>87.314956610515566</v>
      </c>
    </row>
    <row r="179" spans="1:16" ht="18.75" x14ac:dyDescent="0.25">
      <c r="A179" s="136"/>
      <c r="B179" s="41"/>
      <c r="C179" s="41"/>
      <c r="D179" s="42" t="s">
        <v>21</v>
      </c>
      <c r="E179" s="41"/>
      <c r="F179" s="41"/>
      <c r="G179" s="43"/>
      <c r="H179" s="147" t="s">
        <v>12</v>
      </c>
      <c r="I179" s="144"/>
      <c r="J179" s="144"/>
      <c r="K179" s="145"/>
      <c r="L179" s="47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</row>
    <row r="180" spans="1:16" ht="18.75" hidden="1" x14ac:dyDescent="0.25">
      <c r="A180" s="136"/>
      <c r="B180" s="41"/>
      <c r="C180" s="41"/>
      <c r="D180" s="41"/>
      <c r="E180" s="279" t="s">
        <v>18</v>
      </c>
      <c r="F180" s="41"/>
      <c r="G180" s="43"/>
      <c r="H180" s="146" t="s">
        <v>12</v>
      </c>
      <c r="I180" s="144"/>
      <c r="J180" s="144"/>
      <c r="K180" s="145"/>
      <c r="L180" s="50">
        <v>0</v>
      </c>
      <c r="M180" s="50">
        <v>0</v>
      </c>
      <c r="N180" s="50">
        <v>0</v>
      </c>
      <c r="O180" s="50">
        <f>IF(L180&gt;0,N180*100/L180,0)</f>
        <v>0</v>
      </c>
      <c r="P180" s="50">
        <f>IF(M180&gt;0,N180*100/M180,0)</f>
        <v>0</v>
      </c>
    </row>
    <row r="181" spans="1:16" ht="18.75" x14ac:dyDescent="0.25">
      <c r="A181" s="136"/>
      <c r="B181" s="41"/>
      <c r="C181" s="41"/>
      <c r="D181" s="41"/>
      <c r="E181" s="254" t="s">
        <v>19</v>
      </c>
      <c r="F181" s="41"/>
      <c r="G181" s="43"/>
      <c r="H181" s="147" t="s">
        <v>12</v>
      </c>
      <c r="I181" s="144"/>
      <c r="J181" s="144"/>
      <c r="K181" s="145"/>
      <c r="L181" s="47">
        <f ca="1">IFERROR(__xludf.DUMMYFUNCTION("IMPORTRANGE(""https://docs.google.com/spreadsheets/d/1-uDff_7J0KD5mKrp0Vvzr7lt3OU09vwQwhkpOPPYv2Y/edit?usp=sharing"",""งบพรบ!CN20"")"),0)</f>
        <v>0</v>
      </c>
      <c r="M181" s="47">
        <f ca="1">IFERROR(__xludf.DUMMYFUNCTION("IMPORTRANGE(""https://docs.google.com/spreadsheets/d/1-uDff_7J0KD5mKrp0Vvzr7lt3OU09vwQwhkpOPPYv2Y/edit?usp=sharing"",""งบพรบ!CQ20"")"),0)</f>
        <v>0</v>
      </c>
      <c r="N181" s="47">
        <f ca="1">IFERROR(__xludf.DUMMYFUNCTION("IMPORTRANGE(""https://docs.google.com/spreadsheets/d/1-uDff_7J0KD5mKrp0Vvzr7lt3OU09vwQwhkpOPPYv2Y/edit?usp=sharing"",""งบพรบ!CS20"")"),0)</f>
        <v>0</v>
      </c>
      <c r="O181" s="47">
        <f ca="1">IF(L181&gt;0,N181*100/L181,0)</f>
        <v>0</v>
      </c>
      <c r="P181" s="47">
        <f ca="1">IF(M181&gt;0,N181*100/M181,0)</f>
        <v>0</v>
      </c>
    </row>
    <row r="182" spans="1:16" ht="19.5" x14ac:dyDescent="0.3">
      <c r="A182" s="148"/>
      <c r="B182" s="149"/>
      <c r="C182" s="197" t="s">
        <v>16</v>
      </c>
      <c r="D182" s="395" t="s">
        <v>36</v>
      </c>
      <c r="E182" s="151"/>
      <c r="F182" s="151"/>
      <c r="G182" s="152"/>
      <c r="H182" s="196"/>
      <c r="I182" s="45"/>
      <c r="J182" s="45"/>
      <c r="K182" s="46"/>
      <c r="L182" s="46"/>
      <c r="M182" s="46"/>
      <c r="N182" s="46"/>
      <c r="O182" s="46"/>
      <c r="P182" s="46"/>
    </row>
    <row r="183" spans="1:16" ht="18.75" x14ac:dyDescent="0.25">
      <c r="A183" s="227"/>
      <c r="B183" s="41"/>
      <c r="C183" s="228"/>
      <c r="D183" s="229" t="s">
        <v>69</v>
      </c>
      <c r="E183" s="41"/>
      <c r="F183" s="41"/>
      <c r="G183" s="43"/>
      <c r="H183" s="230" t="s">
        <v>33</v>
      </c>
      <c r="I183" s="169">
        <f ca="1">IFERROR(__xludf.DUMMYFUNCTION("IMPORTRANGE(""https://docs.google.com/spreadsheets/d/1eHaY18a8A9IcSdp1K8H6x8fbOy06t2VsZHhMHf-1x7Y/edit?usp=sharing"",""แผน!AA20"")"),7)</f>
        <v>7</v>
      </c>
      <c r="J183" s="250">
        <v>7</v>
      </c>
      <c r="K183" s="47">
        <f ca="1">IF(I183&gt;0,J183*100/I183,0)</f>
        <v>100</v>
      </c>
      <c r="L183" s="46"/>
      <c r="M183" s="46"/>
      <c r="N183" s="46"/>
      <c r="O183" s="46"/>
      <c r="P183" s="46"/>
    </row>
    <row r="184" spans="1:16" ht="18.75" hidden="1" x14ac:dyDescent="0.25">
      <c r="A184" s="227"/>
      <c r="B184" s="228"/>
      <c r="C184" s="228"/>
      <c r="D184" s="231" t="s">
        <v>70</v>
      </c>
      <c r="E184" s="41"/>
      <c r="F184" s="41"/>
      <c r="G184" s="43"/>
      <c r="H184" s="232" t="s">
        <v>33</v>
      </c>
      <c r="I184" s="200">
        <v>0</v>
      </c>
      <c r="J184" s="200">
        <v>0</v>
      </c>
      <c r="K184" s="50">
        <f>IF(I184&gt;0,J184*100/I184,0)</f>
        <v>0</v>
      </c>
      <c r="L184" s="46"/>
      <c r="M184" s="46"/>
      <c r="N184" s="46"/>
      <c r="O184" s="46"/>
      <c r="P184" s="46"/>
    </row>
    <row r="185" spans="1:16" ht="19.5" x14ac:dyDescent="0.3">
      <c r="A185" s="220"/>
      <c r="B185" s="221" t="s">
        <v>71</v>
      </c>
      <c r="C185" s="222"/>
      <c r="D185" s="151"/>
      <c r="E185" s="151"/>
      <c r="F185" s="151"/>
      <c r="G185" s="152"/>
      <c r="H185" s="223" t="s">
        <v>33</v>
      </c>
      <c r="I185" s="224">
        <f ca="1">I230+I231</f>
        <v>40</v>
      </c>
      <c r="J185" s="224">
        <f>J230+J231</f>
        <v>0</v>
      </c>
      <c r="K185" s="225">
        <f ca="1">IF(I185&gt;0,J185*100/I185,0)</f>
        <v>0</v>
      </c>
      <c r="L185" s="226"/>
      <c r="M185" s="226"/>
      <c r="N185" s="226"/>
      <c r="O185" s="226"/>
      <c r="P185" s="226"/>
    </row>
    <row r="186" spans="1:16" ht="19.5" x14ac:dyDescent="0.3">
      <c r="A186" s="136"/>
      <c r="B186" s="41"/>
      <c r="C186" s="197" t="s">
        <v>16</v>
      </c>
      <c r="D186" s="397" t="s">
        <v>17</v>
      </c>
      <c r="E186" s="41"/>
      <c r="F186" s="41"/>
      <c r="G186" s="43"/>
      <c r="H186" s="139" t="s">
        <v>12</v>
      </c>
      <c r="I186" s="45"/>
      <c r="J186" s="45"/>
      <c r="K186" s="46"/>
      <c r="L186" s="140">
        <f ca="1">L187+L188</f>
        <v>305900</v>
      </c>
      <c r="M186" s="140">
        <f ca="1">M187+M188</f>
        <v>265900</v>
      </c>
      <c r="N186" s="140">
        <f ca="1">N187+N188</f>
        <v>13000</v>
      </c>
      <c r="O186" s="140">
        <f ca="1">IF(L186&gt;0,N186*100/L186,0)</f>
        <v>4.2497548218372021</v>
      </c>
      <c r="P186" s="140">
        <f ca="1">IF(M186&gt;0,N186*100/M186,0)</f>
        <v>4.8890560361037982</v>
      </c>
    </row>
    <row r="187" spans="1:16" ht="18.75" hidden="1" x14ac:dyDescent="0.25">
      <c r="A187" s="136"/>
      <c r="B187" s="41"/>
      <c r="C187" s="41"/>
      <c r="D187" s="41"/>
      <c r="E187" s="279" t="s">
        <v>18</v>
      </c>
      <c r="F187" s="41"/>
      <c r="G187" s="43"/>
      <c r="H187" s="141" t="s">
        <v>12</v>
      </c>
      <c r="I187" s="45"/>
      <c r="J187" s="45"/>
      <c r="K187" s="46"/>
      <c r="L187" s="50">
        <f>L190+L193</f>
        <v>0</v>
      </c>
      <c r="M187" s="50">
        <f>M190+M193</f>
        <v>0</v>
      </c>
      <c r="N187" s="50">
        <f>N190+N193</f>
        <v>0</v>
      </c>
      <c r="O187" s="50">
        <f>IF(L187&gt;0,N187*100/L187,0)</f>
        <v>0</v>
      </c>
      <c r="P187" s="50">
        <f>IF(M187&gt;0,N187*100/M187,0)</f>
        <v>0</v>
      </c>
    </row>
    <row r="188" spans="1:16" ht="18.75" x14ac:dyDescent="0.25">
      <c r="A188" s="136"/>
      <c r="B188" s="41"/>
      <c r="C188" s="41"/>
      <c r="D188" s="41"/>
      <c r="E188" s="254" t="s">
        <v>19</v>
      </c>
      <c r="F188" s="41"/>
      <c r="G188" s="43"/>
      <c r="H188" s="142" t="s">
        <v>12</v>
      </c>
      <c r="I188" s="45"/>
      <c r="J188" s="45"/>
      <c r="K188" s="46"/>
      <c r="L188" s="47">
        <f ca="1">L191+L194</f>
        <v>305900</v>
      </c>
      <c r="M188" s="47">
        <f ca="1">M191+M194</f>
        <v>265900</v>
      </c>
      <c r="N188" s="47">
        <f ca="1">N191+N194</f>
        <v>13000</v>
      </c>
      <c r="O188" s="47">
        <f ca="1">IF(L188&gt;0,N188*100/L188,0)</f>
        <v>4.2497548218372021</v>
      </c>
      <c r="P188" s="47">
        <f ca="1">IF(M188&gt;0,N188*100/M188,0)</f>
        <v>4.8890560361037982</v>
      </c>
    </row>
    <row r="189" spans="1:16" ht="18.75" x14ac:dyDescent="0.25">
      <c r="A189" s="136"/>
      <c r="B189" s="41"/>
      <c r="C189" s="41"/>
      <c r="D189" s="42" t="s">
        <v>20</v>
      </c>
      <c r="E189" s="41"/>
      <c r="F189" s="41"/>
      <c r="G189" s="43"/>
      <c r="H189" s="143" t="s">
        <v>12</v>
      </c>
      <c r="I189" s="144"/>
      <c r="J189" s="144"/>
      <c r="K189" s="145"/>
      <c r="L189" s="47">
        <f ca="1">L190+L191</f>
        <v>305900</v>
      </c>
      <c r="M189" s="47">
        <f ca="1">M190+M191</f>
        <v>265900</v>
      </c>
      <c r="N189" s="47">
        <f ca="1">N190+N191</f>
        <v>13000</v>
      </c>
      <c r="O189" s="47">
        <f ca="1">IF(L189&gt;0,N189*100/L189,0)</f>
        <v>4.2497548218372021</v>
      </c>
      <c r="P189" s="47">
        <f ca="1">IF(M189&gt;0,N189*100/M189,0)</f>
        <v>4.8890560361037982</v>
      </c>
    </row>
    <row r="190" spans="1:16" ht="18.75" hidden="1" x14ac:dyDescent="0.25">
      <c r="A190" s="136"/>
      <c r="B190" s="41"/>
      <c r="C190" s="41"/>
      <c r="D190" s="41"/>
      <c r="E190" s="279" t="s">
        <v>34</v>
      </c>
      <c r="F190" s="41"/>
      <c r="G190" s="43"/>
      <c r="H190" s="146" t="s">
        <v>12</v>
      </c>
      <c r="I190" s="144"/>
      <c r="J190" s="144"/>
      <c r="K190" s="145"/>
      <c r="L190" s="50">
        <v>0</v>
      </c>
      <c r="M190" s="50">
        <v>0</v>
      </c>
      <c r="N190" s="50">
        <v>0</v>
      </c>
      <c r="O190" s="50">
        <f>IF(L190&gt;0,N190*100/L190,0)</f>
        <v>0</v>
      </c>
      <c r="P190" s="50">
        <f>IF(M190&gt;0,N190*100/M190,0)</f>
        <v>0</v>
      </c>
    </row>
    <row r="191" spans="1:16" ht="18.75" x14ac:dyDescent="0.25">
      <c r="A191" s="136"/>
      <c r="B191" s="41"/>
      <c r="C191" s="41"/>
      <c r="D191" s="41"/>
      <c r="E191" s="254" t="s">
        <v>35</v>
      </c>
      <c r="F191" s="41"/>
      <c r="G191" s="43"/>
      <c r="H191" s="143" t="s">
        <v>12</v>
      </c>
      <c r="I191" s="144"/>
      <c r="J191" s="144"/>
      <c r="K191" s="145"/>
      <c r="L191" s="47">
        <f ca="1">IFERROR(__xludf.DUMMYFUNCTION("IMPORTRANGE(""https://docs.google.com/spreadsheets/d/1-uDff_7J0KD5mKrp0Vvzr7lt3OU09vwQwhkpOPPYv2Y/edit?usp=sharing"",""งบพรบ!CU20"")"),305900)</f>
        <v>305900</v>
      </c>
      <c r="M191" s="47">
        <f ca="1">IFERROR(__xludf.DUMMYFUNCTION("IMPORTRANGE(""https://docs.google.com/spreadsheets/d/1-uDff_7J0KD5mKrp0Vvzr7lt3OU09vwQwhkpOPPYv2Y/edit?usp=sharing"",""งบพรบ!CZ20"")"),265900)</f>
        <v>265900</v>
      </c>
      <c r="N191" s="47">
        <f ca="1">IFERROR(__xludf.DUMMYFUNCTION("IMPORTRANGE(""https://docs.google.com/spreadsheets/d/1-uDff_7J0KD5mKrp0Vvzr7lt3OU09vwQwhkpOPPYv2Y/edit?usp=sharing"",""งบพรบ!DB20"")"),13000)</f>
        <v>13000</v>
      </c>
      <c r="O191" s="47">
        <f ca="1">IF(L191&gt;0,N191*100/L191,0)</f>
        <v>4.2497548218372021</v>
      </c>
      <c r="P191" s="47">
        <f ca="1">IF(M191&gt;0,N191*100/M191,0)</f>
        <v>4.8890560361037982</v>
      </c>
    </row>
    <row r="192" spans="1:16" ht="18.75" x14ac:dyDescent="0.25">
      <c r="A192" s="136"/>
      <c r="B192" s="41"/>
      <c r="C192" s="41"/>
      <c r="D192" s="42" t="s">
        <v>21</v>
      </c>
      <c r="E192" s="41"/>
      <c r="F192" s="41"/>
      <c r="G192" s="43"/>
      <c r="H192" s="147" t="s">
        <v>12</v>
      </c>
      <c r="I192" s="144"/>
      <c r="J192" s="144"/>
      <c r="K192" s="145"/>
      <c r="L192" s="47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</row>
    <row r="193" spans="1:16" ht="18.75" hidden="1" x14ac:dyDescent="0.25">
      <c r="A193" s="136"/>
      <c r="B193" s="41"/>
      <c r="C193" s="41"/>
      <c r="D193" s="41"/>
      <c r="E193" s="279" t="s">
        <v>18</v>
      </c>
      <c r="F193" s="41"/>
      <c r="G193" s="43"/>
      <c r="H193" s="146" t="s">
        <v>12</v>
      </c>
      <c r="I193" s="144"/>
      <c r="J193" s="144"/>
      <c r="K193" s="145"/>
      <c r="L193" s="50">
        <v>0</v>
      </c>
      <c r="M193" s="50">
        <v>0</v>
      </c>
      <c r="N193" s="50">
        <v>0</v>
      </c>
      <c r="O193" s="50">
        <f>IF(L193&gt;0,N193*100/L193,0)</f>
        <v>0</v>
      </c>
      <c r="P193" s="50">
        <f>IF(M193&gt;0,N193*100/M193,0)</f>
        <v>0</v>
      </c>
    </row>
    <row r="194" spans="1:16" ht="18.75" x14ac:dyDescent="0.25">
      <c r="A194" s="136"/>
      <c r="B194" s="41"/>
      <c r="C194" s="41"/>
      <c r="D194" s="41"/>
      <c r="E194" s="254" t="s">
        <v>19</v>
      </c>
      <c r="F194" s="41"/>
      <c r="G194" s="43"/>
      <c r="H194" s="147" t="s">
        <v>12</v>
      </c>
      <c r="I194" s="144"/>
      <c r="J194" s="144"/>
      <c r="K194" s="145"/>
      <c r="L194" s="47">
        <f ca="1">IFERROR(__xludf.DUMMYFUNCTION("IMPORTRANGE(""https://docs.google.com/spreadsheets/d/1-uDff_7J0KD5mKrp0Vvzr7lt3OU09vwQwhkpOPPYv2Y/edit?usp=sharing"",""งบพรบ!CX20"")"),0)</f>
        <v>0</v>
      </c>
      <c r="M194" s="47">
        <f ca="1">IFERROR(__xludf.DUMMYFUNCTION("IMPORTRANGE(""https://docs.google.com/spreadsheets/d/1-uDff_7J0KD5mKrp0Vvzr7lt3OU09vwQwhkpOPPYv2Y/edit?usp=sharing"",""งบพรบ!DA20"")"),0)</f>
        <v>0</v>
      </c>
      <c r="N194" s="47">
        <f ca="1">IFERROR(__xludf.DUMMYFUNCTION("IMPORTRANGE(""https://docs.google.com/spreadsheets/d/1-uDff_7J0KD5mKrp0Vvzr7lt3OU09vwQwhkpOPPYv2Y/edit?usp=sharing"",""งบพรบ!DC20"")"),0)</f>
        <v>0</v>
      </c>
      <c r="O194" s="47">
        <f ca="1">IF(L194&gt;0,N194*100/L194,0)</f>
        <v>0</v>
      </c>
      <c r="P194" s="47">
        <f ca="1">IF(M194&gt;0,N194*100/M194,0)</f>
        <v>0</v>
      </c>
    </row>
    <row r="195" spans="1:16" ht="19.5" x14ac:dyDescent="0.3">
      <c r="A195" s="233"/>
      <c r="B195" s="234"/>
      <c r="C195" s="235" t="s">
        <v>72</v>
      </c>
      <c r="D195" s="236"/>
      <c r="E195" s="236"/>
      <c r="F195" s="236"/>
      <c r="G195" s="237"/>
      <c r="H195" s="238" t="s">
        <v>73</v>
      </c>
      <c r="I195" s="239">
        <f ca="1">I198</f>
        <v>4</v>
      </c>
      <c r="J195" s="239">
        <f>J198</f>
        <v>0</v>
      </c>
      <c r="K195" s="240">
        <f ca="1">IF(I195&gt;0,J195*100/I195,0)</f>
        <v>0</v>
      </c>
      <c r="L195" s="241"/>
      <c r="M195" s="241"/>
      <c r="N195" s="241"/>
      <c r="O195" s="241"/>
      <c r="P195" s="241"/>
    </row>
    <row r="196" spans="1:16" ht="19.5" x14ac:dyDescent="0.3">
      <c r="A196" s="136"/>
      <c r="B196" s="41"/>
      <c r="C196" s="197" t="s">
        <v>16</v>
      </c>
      <c r="D196" s="400" t="s">
        <v>17</v>
      </c>
      <c r="E196" s="41"/>
      <c r="F196" s="41"/>
      <c r="G196" s="43"/>
      <c r="H196" s="243" t="s">
        <v>12</v>
      </c>
      <c r="I196" s="45"/>
      <c r="J196" s="45"/>
      <c r="K196" s="46"/>
      <c r="L196" s="140">
        <f ca="1">IFERROR(__xludf.DUMMYFUNCTION("IMPORTRANGE(""https://docs.google.com/spreadsheets/d/1eHaY18a8A9IcSdp1K8H6x8fbOy06t2VsZHhMHf-1x7Y/edit?usp=sharing"",""แผน!AB20"")"),6000)</f>
        <v>6000</v>
      </c>
      <c r="M196" s="46"/>
      <c r="N196" s="244">
        <v>0</v>
      </c>
      <c r="O196" s="140">
        <f ca="1">IF(L196&gt;0,N196*100/L196,0)</f>
        <v>0</v>
      </c>
      <c r="P196" s="140">
        <f>IF(M196&gt;0,N196*100/M196,0)</f>
        <v>0</v>
      </c>
    </row>
    <row r="197" spans="1:16" ht="19.5" x14ac:dyDescent="0.3">
      <c r="A197" s="148"/>
      <c r="B197" s="149"/>
      <c r="C197" s="197" t="s">
        <v>16</v>
      </c>
      <c r="D197" s="395" t="s">
        <v>36</v>
      </c>
      <c r="E197" s="151"/>
      <c r="F197" s="151"/>
      <c r="G197" s="152"/>
      <c r="H197" s="153"/>
      <c r="I197" s="45"/>
      <c r="J197" s="45"/>
      <c r="K197" s="46"/>
      <c r="L197" s="46"/>
      <c r="M197" s="46"/>
      <c r="N197" s="46"/>
      <c r="O197" s="46"/>
      <c r="P197" s="46"/>
    </row>
    <row r="198" spans="1:16" ht="18.75" x14ac:dyDescent="0.25">
      <c r="A198" s="148"/>
      <c r="B198" s="149"/>
      <c r="C198" s="149"/>
      <c r="D198" s="159" t="s">
        <v>74</v>
      </c>
      <c r="E198" s="155"/>
      <c r="F198" s="155"/>
      <c r="G198" s="153"/>
      <c r="H198" s="251" t="s">
        <v>73</v>
      </c>
      <c r="I198" s="169">
        <f ca="1">IFERROR(__xludf.DUMMYFUNCTION("IMPORTRANGE(""https://docs.google.com/spreadsheets/d/1eHaY18a8A9IcSdp1K8H6x8fbOy06t2VsZHhMHf-1x7Y/edit?usp=sharing"",""แผน!AE20"")"),4)</f>
        <v>4</v>
      </c>
      <c r="J198" s="250">
        <v>0</v>
      </c>
      <c r="K198" s="47">
        <f ca="1">IF(I198&gt;0,J198*100/I198,0)</f>
        <v>0</v>
      </c>
      <c r="L198" s="46"/>
      <c r="M198" s="46"/>
      <c r="N198" s="46"/>
      <c r="O198" s="46"/>
      <c r="P198" s="46"/>
    </row>
    <row r="199" spans="1:16" ht="18.75" x14ac:dyDescent="0.25">
      <c r="A199" s="148"/>
      <c r="B199" s="149"/>
      <c r="C199" s="149"/>
      <c r="D199" s="159" t="s">
        <v>75</v>
      </c>
      <c r="E199" s="155"/>
      <c r="F199" s="155"/>
      <c r="G199" s="153"/>
      <c r="H199" s="230" t="s">
        <v>33</v>
      </c>
      <c r="I199" s="45"/>
      <c r="J199" s="169">
        <f>J200+J201</f>
        <v>0</v>
      </c>
      <c r="K199" s="46"/>
      <c r="L199" s="46"/>
      <c r="M199" s="46"/>
      <c r="N199" s="46"/>
      <c r="O199" s="46"/>
      <c r="P199" s="46"/>
    </row>
    <row r="200" spans="1:16" ht="18.75" x14ac:dyDescent="0.25">
      <c r="A200" s="148"/>
      <c r="B200" s="149"/>
      <c r="C200" s="149"/>
      <c r="D200" s="149"/>
      <c r="E200" s="159" t="s">
        <v>76</v>
      </c>
      <c r="F200" s="155"/>
      <c r="G200" s="153"/>
      <c r="H200" s="230" t="s">
        <v>33</v>
      </c>
      <c r="I200" s="45"/>
      <c r="J200" s="250">
        <v>0</v>
      </c>
      <c r="K200" s="46"/>
      <c r="L200" s="46"/>
      <c r="M200" s="46"/>
      <c r="N200" s="46"/>
      <c r="O200" s="46"/>
      <c r="P200" s="46"/>
    </row>
    <row r="201" spans="1:16" ht="18.75" x14ac:dyDescent="0.25">
      <c r="A201" s="148"/>
      <c r="B201" s="149"/>
      <c r="C201" s="149"/>
      <c r="D201" s="149"/>
      <c r="E201" s="159" t="s">
        <v>77</v>
      </c>
      <c r="F201" s="155"/>
      <c r="G201" s="153"/>
      <c r="H201" s="230" t="s">
        <v>33</v>
      </c>
      <c r="I201" s="45"/>
      <c r="J201" s="250">
        <v>0</v>
      </c>
      <c r="K201" s="46"/>
      <c r="L201" s="46"/>
      <c r="M201" s="46"/>
      <c r="N201" s="46"/>
      <c r="O201" s="46"/>
      <c r="P201" s="46"/>
    </row>
    <row r="202" spans="1:16" ht="19.5" x14ac:dyDescent="0.3">
      <c r="A202" s="233"/>
      <c r="B202" s="234"/>
      <c r="C202" s="235" t="s">
        <v>78</v>
      </c>
      <c r="D202" s="236"/>
      <c r="E202" s="236"/>
      <c r="F202" s="236"/>
      <c r="G202" s="237"/>
      <c r="H202" s="245" t="s">
        <v>79</v>
      </c>
      <c r="I202" s="239">
        <f ca="1">I209</f>
        <v>2</v>
      </c>
      <c r="J202" s="239">
        <f>J209</f>
        <v>0</v>
      </c>
      <c r="K202" s="240">
        <f ca="1">IF(I202&gt;0,J202*100/I202,0)</f>
        <v>0</v>
      </c>
      <c r="L202" s="241"/>
      <c r="M202" s="241"/>
      <c r="N202" s="241"/>
      <c r="O202" s="241"/>
      <c r="P202" s="241"/>
    </row>
    <row r="203" spans="1:16" ht="19.5" x14ac:dyDescent="0.3">
      <c r="A203" s="136"/>
      <c r="B203" s="41"/>
      <c r="C203" s="197" t="s">
        <v>16</v>
      </c>
      <c r="D203" s="400" t="s">
        <v>17</v>
      </c>
      <c r="E203" s="41"/>
      <c r="F203" s="41"/>
      <c r="G203" s="43"/>
      <c r="H203" s="243" t="s">
        <v>12</v>
      </c>
      <c r="I203" s="144"/>
      <c r="J203" s="144"/>
      <c r="K203" s="145"/>
      <c r="L203" s="140">
        <f ca="1">L204+L205+L206+L207</f>
        <v>26000</v>
      </c>
      <c r="M203" s="46"/>
      <c r="N203" s="140">
        <f>N204+N205+N206+N207</f>
        <v>0</v>
      </c>
      <c r="O203" s="140">
        <f ca="1">IF(L203&gt;0,N203*100/L203,0)</f>
        <v>0</v>
      </c>
      <c r="P203" s="140">
        <f>IF(M203&gt;0,N203*100/M203,0)</f>
        <v>0</v>
      </c>
    </row>
    <row r="204" spans="1:16" ht="18.75" x14ac:dyDescent="0.25">
      <c r="A204" s="136"/>
      <c r="B204" s="228"/>
      <c r="C204" s="41"/>
      <c r="D204" s="253" t="s">
        <v>153</v>
      </c>
      <c r="E204" s="41"/>
      <c r="F204" s="41"/>
      <c r="G204" s="43"/>
      <c r="H204" s="143" t="s">
        <v>12</v>
      </c>
      <c r="I204" s="144"/>
      <c r="J204" s="144"/>
      <c r="K204" s="145"/>
      <c r="L204" s="47">
        <f ca="1">IFERROR(__xludf.DUMMYFUNCTION("IMPORTRANGE(""https://docs.google.com/spreadsheets/d/1eHaY18a8A9IcSdp1K8H6x8fbOy06t2VsZHhMHf-1x7Y/edit?usp=sharing"",""แผน!AG20"")"),2000)</f>
        <v>2000</v>
      </c>
      <c r="M204" s="46"/>
      <c r="N204" s="248">
        <v>0</v>
      </c>
      <c r="O204" s="145"/>
      <c r="P204" s="46"/>
    </row>
    <row r="205" spans="1:16" ht="18.75" x14ac:dyDescent="0.25">
      <c r="A205" s="227"/>
      <c r="B205" s="228"/>
      <c r="C205" s="41"/>
      <c r="D205" s="254" t="s">
        <v>81</v>
      </c>
      <c r="E205" s="41"/>
      <c r="F205" s="41"/>
      <c r="G205" s="43"/>
      <c r="H205" s="44" t="s">
        <v>12</v>
      </c>
      <c r="I205" s="45"/>
      <c r="J205" s="45"/>
      <c r="K205" s="46"/>
      <c r="L205" s="47">
        <f ca="1">IFERROR(__xludf.DUMMYFUNCTION("IMPORTRANGE(""https://docs.google.com/spreadsheets/d/1eHaY18a8A9IcSdp1K8H6x8fbOy06t2VsZHhMHf-1x7Y/edit?usp=sharing"",""แผน!AH20"")"),0)</f>
        <v>0</v>
      </c>
      <c r="M205" s="46"/>
      <c r="N205" s="248">
        <v>0</v>
      </c>
      <c r="O205" s="145"/>
      <c r="P205" s="46"/>
    </row>
    <row r="206" spans="1:16" ht="18.75" x14ac:dyDescent="0.25">
      <c r="A206" s="227"/>
      <c r="B206" s="228"/>
      <c r="C206" s="41"/>
      <c r="D206" s="254" t="s">
        <v>82</v>
      </c>
      <c r="E206" s="41"/>
      <c r="F206" s="41"/>
      <c r="G206" s="43"/>
      <c r="H206" s="44" t="s">
        <v>12</v>
      </c>
      <c r="I206" s="45"/>
      <c r="J206" s="45"/>
      <c r="K206" s="46"/>
      <c r="L206" s="47">
        <f ca="1">IFERROR(__xludf.DUMMYFUNCTION("IMPORTRANGE(""https://docs.google.com/spreadsheets/d/1eHaY18a8A9IcSdp1K8H6x8fbOy06t2VsZHhMHf-1x7Y/edit?usp=sharing"",""แผน!AI20"")"),16000)</f>
        <v>16000</v>
      </c>
      <c r="M206" s="46"/>
      <c r="N206" s="248">
        <v>0</v>
      </c>
      <c r="O206" s="145"/>
      <c r="P206" s="46"/>
    </row>
    <row r="207" spans="1:16" ht="18.75" x14ac:dyDescent="0.25">
      <c r="A207" s="227"/>
      <c r="B207" s="228"/>
      <c r="C207" s="41"/>
      <c r="D207" s="254" t="s">
        <v>83</v>
      </c>
      <c r="E207" s="41"/>
      <c r="F207" s="41"/>
      <c r="G207" s="43"/>
      <c r="H207" s="44" t="s">
        <v>12</v>
      </c>
      <c r="I207" s="45"/>
      <c r="J207" s="45"/>
      <c r="K207" s="46"/>
      <c r="L207" s="47">
        <f ca="1">IFERROR(__xludf.DUMMYFUNCTION("IMPORTRANGE(""https://docs.google.com/spreadsheets/d/1eHaY18a8A9IcSdp1K8H6x8fbOy06t2VsZHhMHf-1x7Y/edit?usp=sharing"",""แผน!AJ20"")"),8000)</f>
        <v>8000</v>
      </c>
      <c r="M207" s="46"/>
      <c r="N207" s="248">
        <v>0</v>
      </c>
      <c r="O207" s="145"/>
      <c r="P207" s="46"/>
    </row>
    <row r="208" spans="1:16" ht="19.5" x14ac:dyDescent="0.3">
      <c r="A208" s="148"/>
      <c r="B208" s="149"/>
      <c r="C208" s="197" t="s">
        <v>16</v>
      </c>
      <c r="D208" s="395" t="s">
        <v>36</v>
      </c>
      <c r="E208" s="151"/>
      <c r="F208" s="151"/>
      <c r="G208" s="152"/>
      <c r="H208" s="153"/>
      <c r="I208" s="144"/>
      <c r="J208" s="144"/>
      <c r="K208" s="145"/>
      <c r="L208" s="145"/>
      <c r="M208" s="145"/>
      <c r="N208" s="145"/>
      <c r="O208" s="145"/>
      <c r="P208" s="145"/>
    </row>
    <row r="209" spans="1:16" ht="18.75" x14ac:dyDescent="0.25">
      <c r="A209" s="148"/>
      <c r="B209" s="149"/>
      <c r="C209" s="149"/>
      <c r="D209" s="154" t="s">
        <v>84</v>
      </c>
      <c r="E209" s="155"/>
      <c r="F209" s="155"/>
      <c r="G209" s="153"/>
      <c r="H209" s="249" t="s">
        <v>79</v>
      </c>
      <c r="I209" s="169">
        <f ca="1">IFERROR(__xludf.DUMMYFUNCTION("IMPORTRANGE(""https://docs.google.com/spreadsheets/d/1eHaY18a8A9IcSdp1K8H6x8fbOy06t2VsZHhMHf-1x7Y/edit?usp=sharing"",""แผน!AK20"")"),2)</f>
        <v>2</v>
      </c>
      <c r="J209" s="250">
        <v>0</v>
      </c>
      <c r="K209" s="163">
        <f ca="1">IF(I209&gt;0,J209*100/I209,0)</f>
        <v>0</v>
      </c>
      <c r="L209" s="46"/>
      <c r="M209" s="46"/>
      <c r="N209" s="46"/>
      <c r="O209" s="46"/>
      <c r="P209" s="46"/>
    </row>
    <row r="210" spans="1:16" ht="18.75" x14ac:dyDescent="0.25">
      <c r="A210" s="148"/>
      <c r="B210" s="149"/>
      <c r="C210" s="149"/>
      <c r="D210" s="159" t="s">
        <v>48</v>
      </c>
      <c r="E210" s="155"/>
      <c r="F210" s="155"/>
      <c r="G210" s="153"/>
      <c r="H210" s="153"/>
      <c r="I210" s="45"/>
      <c r="J210" s="45"/>
      <c r="K210" s="145"/>
      <c r="L210" s="46"/>
      <c r="M210" s="46"/>
      <c r="N210" s="46"/>
      <c r="O210" s="46"/>
      <c r="P210" s="46"/>
    </row>
    <row r="211" spans="1:16" ht="18.75" x14ac:dyDescent="0.25">
      <c r="A211" s="148"/>
      <c r="B211" s="149"/>
      <c r="C211" s="149"/>
      <c r="D211" s="155"/>
      <c r="E211" s="159" t="s">
        <v>85</v>
      </c>
      <c r="F211" s="155"/>
      <c r="G211" s="153"/>
      <c r="H211" s="249" t="s">
        <v>79</v>
      </c>
      <c r="I211" s="169">
        <f ca="1">IFERROR(__xludf.DUMMYFUNCTION("IMPORTRANGE(""https://docs.google.com/spreadsheets/d/1eHaY18a8A9IcSdp1K8H6x8fbOy06t2VsZHhMHf-1x7Y/edit?usp=sharing"",""แผน!AK20"")"),2)</f>
        <v>2</v>
      </c>
      <c r="J211" s="250">
        <v>0</v>
      </c>
      <c r="K211" s="163">
        <f ca="1">IF(I211&gt;0,J211*100/I211,0)</f>
        <v>0</v>
      </c>
      <c r="L211" s="46"/>
      <c r="M211" s="46"/>
      <c r="N211" s="46"/>
      <c r="O211" s="46"/>
      <c r="P211" s="46"/>
    </row>
    <row r="212" spans="1:16" ht="18.75" x14ac:dyDescent="0.25">
      <c r="A212" s="148"/>
      <c r="B212" s="149"/>
      <c r="C212" s="149"/>
      <c r="D212" s="155"/>
      <c r="E212" s="159" t="s">
        <v>86</v>
      </c>
      <c r="F212" s="155"/>
      <c r="G212" s="155"/>
      <c r="H212" s="251" t="s">
        <v>87</v>
      </c>
      <c r="I212" s="169">
        <f ca="1">IFERROR(__xludf.DUMMYFUNCTION("IMPORTRANGE(""https://docs.google.com/spreadsheets/d/1eHaY18a8A9IcSdp1K8H6x8fbOy06t2VsZHhMHf-1x7Y/edit?usp=sharing"",""แผน!AK20"")"),2)</f>
        <v>2</v>
      </c>
      <c r="J212" s="250">
        <v>0</v>
      </c>
      <c r="K212" s="163">
        <f ca="1">IF(I212&gt;0,J212*100/I212,0)</f>
        <v>0</v>
      </c>
      <c r="L212" s="46"/>
      <c r="M212" s="46"/>
      <c r="N212" s="46"/>
      <c r="O212" s="46"/>
      <c r="P212" s="46"/>
    </row>
    <row r="213" spans="1:16" ht="19.5" hidden="1" x14ac:dyDescent="0.3">
      <c r="A213" s="233"/>
      <c r="B213" s="234"/>
      <c r="C213" s="235" t="s">
        <v>88</v>
      </c>
      <c r="D213" s="236"/>
      <c r="E213" s="236"/>
      <c r="F213" s="236"/>
      <c r="G213" s="237"/>
      <c r="H213" s="245" t="s">
        <v>79</v>
      </c>
      <c r="I213" s="239">
        <f ca="1">I220</f>
        <v>0</v>
      </c>
      <c r="J213" s="239">
        <f>J220</f>
        <v>0</v>
      </c>
      <c r="K213" s="240">
        <f ca="1">IF(I213&gt;0,J213*100/I213,0)</f>
        <v>0</v>
      </c>
      <c r="L213" s="241"/>
      <c r="M213" s="241"/>
      <c r="N213" s="241"/>
      <c r="O213" s="241"/>
      <c r="P213" s="241"/>
    </row>
    <row r="214" spans="1:16" ht="19.5" hidden="1" x14ac:dyDescent="0.3">
      <c r="A214" s="136"/>
      <c r="B214" s="41"/>
      <c r="C214" s="197" t="s">
        <v>16</v>
      </c>
      <c r="D214" s="400" t="s">
        <v>17</v>
      </c>
      <c r="E214" s="41"/>
      <c r="F214" s="41"/>
      <c r="G214" s="43"/>
      <c r="H214" s="243" t="s">
        <v>12</v>
      </c>
      <c r="I214" s="144"/>
      <c r="J214" s="144"/>
      <c r="K214" s="145"/>
      <c r="L214" s="140">
        <f ca="1">L215+L216+L217</f>
        <v>0</v>
      </c>
      <c r="M214" s="46"/>
      <c r="N214" s="140">
        <f>N215+N216+N217</f>
        <v>0</v>
      </c>
      <c r="O214" s="140">
        <f ca="1">IF(L214&gt;0,N214*100/L214,0)</f>
        <v>0</v>
      </c>
      <c r="P214" s="140">
        <f>IF(M214&gt;0,N214*100/M214,0)</f>
        <v>0</v>
      </c>
    </row>
    <row r="215" spans="1:16" ht="18.75" hidden="1" x14ac:dyDescent="0.25">
      <c r="A215" s="136"/>
      <c r="B215" s="228"/>
      <c r="C215" s="41"/>
      <c r="D215" s="254" t="s">
        <v>80</v>
      </c>
      <c r="E215" s="41"/>
      <c r="F215" s="41"/>
      <c r="G215" s="43"/>
      <c r="H215" s="143" t="s">
        <v>12</v>
      </c>
      <c r="I215" s="144"/>
      <c r="J215" s="144"/>
      <c r="K215" s="145"/>
      <c r="L215" s="47">
        <f ca="1">IFERROR(__xludf.DUMMYFUNCTION("IMPORTRANGE(""https://docs.google.com/spreadsheets/d/1eHaY18a8A9IcSdp1K8H6x8fbOy06t2VsZHhMHf-1x7Y/edit?usp=sharing"",""แผน!AM20"")"),0)</f>
        <v>0</v>
      </c>
      <c r="M215" s="46"/>
      <c r="N215" s="248">
        <v>0</v>
      </c>
      <c r="O215" s="145"/>
      <c r="P215" s="46"/>
    </row>
    <row r="216" spans="1:16" ht="18.75" hidden="1" x14ac:dyDescent="0.25">
      <c r="A216" s="227"/>
      <c r="B216" s="228"/>
      <c r="C216" s="228"/>
      <c r="D216" s="254" t="s">
        <v>89</v>
      </c>
      <c r="E216" s="41"/>
      <c r="F216" s="41"/>
      <c r="G216" s="43"/>
      <c r="H216" s="143" t="s">
        <v>12</v>
      </c>
      <c r="I216" s="45"/>
      <c r="J216" s="45"/>
      <c r="K216" s="46"/>
      <c r="L216" s="47">
        <f ca="1">IFERROR(__xludf.DUMMYFUNCTION("IMPORTRANGE(""https://docs.google.com/spreadsheets/d/1eHaY18a8A9IcSdp1K8H6x8fbOy06t2VsZHhMHf-1x7Y/edit?usp=sharing"",""แผน!AN20"")"),0)</f>
        <v>0</v>
      </c>
      <c r="M216" s="46"/>
      <c r="N216" s="248">
        <v>0</v>
      </c>
      <c r="O216" s="145"/>
      <c r="P216" s="46"/>
    </row>
    <row r="217" spans="1:16" ht="18.75" hidden="1" x14ac:dyDescent="0.25">
      <c r="A217" s="227"/>
      <c r="B217" s="228"/>
      <c r="C217" s="228"/>
      <c r="D217" s="254" t="s">
        <v>82</v>
      </c>
      <c r="E217" s="41"/>
      <c r="F217" s="41"/>
      <c r="G217" s="43"/>
      <c r="H217" s="143" t="s">
        <v>12</v>
      </c>
      <c r="I217" s="45"/>
      <c r="J217" s="45"/>
      <c r="K217" s="46"/>
      <c r="L217" s="47">
        <f ca="1">IFERROR(__xludf.DUMMYFUNCTION("IMPORTRANGE(""https://docs.google.com/spreadsheets/d/1eHaY18a8A9IcSdp1K8H6x8fbOy06t2VsZHhMHf-1x7Y/edit?usp=sharing"",""แผน!AO20"")"),0)</f>
        <v>0</v>
      </c>
      <c r="M217" s="46"/>
      <c r="N217" s="248">
        <v>0</v>
      </c>
      <c r="O217" s="145"/>
      <c r="P217" s="46"/>
    </row>
    <row r="218" spans="1:16" ht="19.5" hidden="1" x14ac:dyDescent="0.3">
      <c r="A218" s="148"/>
      <c r="B218" s="149"/>
      <c r="C218" s="252" t="s">
        <v>16</v>
      </c>
      <c r="D218" s="395" t="s">
        <v>36</v>
      </c>
      <c r="E218" s="151"/>
      <c r="F218" s="151"/>
      <c r="G218" s="152"/>
      <c r="H218" s="153"/>
      <c r="I218" s="144"/>
      <c r="J218" s="45"/>
      <c r="K218" s="46"/>
      <c r="L218" s="46"/>
      <c r="M218" s="46"/>
      <c r="N218" s="46"/>
      <c r="O218" s="145"/>
      <c r="P218" s="145"/>
    </row>
    <row r="219" spans="1:16" ht="18.75" hidden="1" x14ac:dyDescent="0.25">
      <c r="A219" s="148"/>
      <c r="B219" s="149"/>
      <c r="C219" s="149"/>
      <c r="D219" s="154" t="s">
        <v>90</v>
      </c>
      <c r="E219" s="155"/>
      <c r="F219" s="155"/>
      <c r="G219" s="153"/>
      <c r="H219" s="249" t="s">
        <v>79</v>
      </c>
      <c r="I219" s="169">
        <f ca="1">IFERROR(__xludf.DUMMYFUNCTION("IMPORTRANGE(""https://docs.google.com/spreadsheets/d/1eHaY18a8A9IcSdp1K8H6x8fbOy06t2VsZHhMHf-1x7Y/edit?usp=sharing"",""แผน!AP20"")"),0)</f>
        <v>0</v>
      </c>
      <c r="J219" s="250">
        <v>0</v>
      </c>
      <c r="K219" s="47">
        <f ca="1">IF(I219&gt;0,J219*100/I219,0)</f>
        <v>0</v>
      </c>
      <c r="L219" s="46"/>
      <c r="M219" s="46"/>
      <c r="N219" s="46"/>
      <c r="O219" s="46"/>
      <c r="P219" s="46"/>
    </row>
    <row r="220" spans="1:16" ht="18.75" hidden="1" x14ac:dyDescent="0.25">
      <c r="A220" s="148"/>
      <c r="B220" s="149"/>
      <c r="C220" s="149"/>
      <c r="D220" s="154" t="s">
        <v>91</v>
      </c>
      <c r="E220" s="155"/>
      <c r="F220" s="155"/>
      <c r="G220" s="153"/>
      <c r="H220" s="249" t="s">
        <v>79</v>
      </c>
      <c r="I220" s="169">
        <f ca="1">IFERROR(__xludf.DUMMYFUNCTION("IMPORTRANGE(""https://docs.google.com/spreadsheets/d/1eHaY18a8A9IcSdp1K8H6x8fbOy06t2VsZHhMHf-1x7Y/edit?usp=sharing"",""แผน!AP20"")"),0)</f>
        <v>0</v>
      </c>
      <c r="J220" s="250">
        <v>0</v>
      </c>
      <c r="K220" s="47">
        <f ca="1">IF(I220&gt;0,J220*100/I220,0)</f>
        <v>0</v>
      </c>
      <c r="L220" s="46"/>
      <c r="M220" s="46"/>
      <c r="N220" s="46"/>
      <c r="O220" s="46"/>
      <c r="P220" s="46"/>
    </row>
    <row r="221" spans="1:16" ht="19.5" x14ac:dyDescent="0.3">
      <c r="A221" s="233"/>
      <c r="B221" s="234"/>
      <c r="C221" s="235" t="s">
        <v>92</v>
      </c>
      <c r="D221" s="236"/>
      <c r="E221" s="236"/>
      <c r="F221" s="236"/>
      <c r="G221" s="237"/>
      <c r="H221" s="238" t="s">
        <v>93</v>
      </c>
      <c r="I221" s="239">
        <f ca="1">I229</f>
        <v>20000</v>
      </c>
      <c r="J221" s="239">
        <f>J229</f>
        <v>0</v>
      </c>
      <c r="K221" s="240">
        <f ca="1">IF(I221&gt;0,J221*100/I221,0)</f>
        <v>0</v>
      </c>
      <c r="L221" s="241"/>
      <c r="M221" s="241"/>
      <c r="N221" s="241"/>
      <c r="O221" s="241"/>
      <c r="P221" s="241"/>
    </row>
    <row r="222" spans="1:16" ht="19.5" x14ac:dyDescent="0.3">
      <c r="A222" s="136"/>
      <c r="B222" s="41"/>
      <c r="C222" s="197" t="s">
        <v>16</v>
      </c>
      <c r="D222" s="400" t="s">
        <v>17</v>
      </c>
      <c r="E222" s="41"/>
      <c r="F222" s="41"/>
      <c r="G222" s="43"/>
      <c r="H222" s="243" t="s">
        <v>12</v>
      </c>
      <c r="I222" s="144"/>
      <c r="J222" s="144"/>
      <c r="K222" s="145"/>
      <c r="L222" s="140">
        <f ca="1">L223+L224+L225</f>
        <v>4500</v>
      </c>
      <c r="M222" s="46"/>
      <c r="N222" s="140">
        <f>N223+N224+N225</f>
        <v>0</v>
      </c>
      <c r="O222" s="140">
        <f ca="1">IF(L222&gt;0,N222*100/L222,0)</f>
        <v>0</v>
      </c>
      <c r="P222" s="140">
        <f>IF(M222&gt;0,N222*100/M222,0)</f>
        <v>0</v>
      </c>
    </row>
    <row r="223" spans="1:16" ht="18.75" x14ac:dyDescent="0.25">
      <c r="A223" s="136"/>
      <c r="B223" s="228"/>
      <c r="C223" s="41"/>
      <c r="D223" s="253" t="s">
        <v>94</v>
      </c>
      <c r="E223" s="41"/>
      <c r="F223" s="41"/>
      <c r="G223" s="43"/>
      <c r="H223" s="143" t="s">
        <v>12</v>
      </c>
      <c r="I223" s="144"/>
      <c r="J223" s="144"/>
      <c r="K223" s="145"/>
      <c r="L223" s="47">
        <f ca="1">IFERROR(__xludf.DUMMYFUNCTION("IMPORTRANGE(""https://docs.google.com/spreadsheets/d/1eHaY18a8A9IcSdp1K8H6x8fbOy06t2VsZHhMHf-1x7Y/edit?usp=sharing"",""แผน!AR20"")"),3000)</f>
        <v>3000</v>
      </c>
      <c r="M223" s="46"/>
      <c r="N223" s="248">
        <v>0</v>
      </c>
      <c r="O223" s="145"/>
      <c r="P223" s="46"/>
    </row>
    <row r="224" spans="1:16" ht="18.75" x14ac:dyDescent="0.25">
      <c r="A224" s="227"/>
      <c r="B224" s="228"/>
      <c r="C224" s="228"/>
      <c r="D224" s="254" t="s">
        <v>95</v>
      </c>
      <c r="E224" s="41"/>
      <c r="F224" s="41"/>
      <c r="G224" s="43"/>
      <c r="H224" s="143" t="s">
        <v>12</v>
      </c>
      <c r="I224" s="45"/>
      <c r="J224" s="45"/>
      <c r="K224" s="46"/>
      <c r="L224" s="47">
        <f ca="1">IFERROR(__xludf.DUMMYFUNCTION("IMPORTRANGE(""https://docs.google.com/spreadsheets/d/1eHaY18a8A9IcSdp1K8H6x8fbOy06t2VsZHhMHf-1x7Y/edit?usp=sharing"",""แผน!AS20"")"),1500)</f>
        <v>1500</v>
      </c>
      <c r="M224" s="46"/>
      <c r="N224" s="248">
        <v>0</v>
      </c>
      <c r="O224" s="145"/>
      <c r="P224" s="46"/>
    </row>
    <row r="225" spans="1:16" ht="18.75" x14ac:dyDescent="0.25">
      <c r="A225" s="227"/>
      <c r="B225" s="228"/>
      <c r="C225" s="228"/>
      <c r="D225" s="254" t="s">
        <v>82</v>
      </c>
      <c r="E225" s="41"/>
      <c r="F225" s="41"/>
      <c r="G225" s="43"/>
      <c r="H225" s="143" t="s">
        <v>12</v>
      </c>
      <c r="I225" s="45"/>
      <c r="J225" s="45"/>
      <c r="K225" s="46"/>
      <c r="L225" s="47">
        <f ca="1">IFERROR(__xludf.DUMMYFUNCTION("IMPORTRANGE(""https://docs.google.com/spreadsheets/d/1eHaY18a8A9IcSdp1K8H6x8fbOy06t2VsZHhMHf-1x7Y/edit?usp=sharing"",""แผน!AT20"")"),0)</f>
        <v>0</v>
      </c>
      <c r="M225" s="46"/>
      <c r="N225" s="248">
        <v>0</v>
      </c>
      <c r="O225" s="145"/>
      <c r="P225" s="46"/>
    </row>
    <row r="226" spans="1:16" ht="19.5" x14ac:dyDescent="0.3">
      <c r="A226" s="148"/>
      <c r="B226" s="149"/>
      <c r="C226" s="252" t="s">
        <v>16</v>
      </c>
      <c r="D226" s="395" t="s">
        <v>36</v>
      </c>
      <c r="E226" s="151"/>
      <c r="F226" s="151"/>
      <c r="G226" s="152"/>
      <c r="H226" s="153"/>
      <c r="I226" s="144"/>
      <c r="J226" s="144"/>
      <c r="K226" s="145"/>
      <c r="L226" s="145"/>
      <c r="M226" s="145"/>
      <c r="N226" s="145"/>
      <c r="O226" s="145"/>
      <c r="P226" s="145"/>
    </row>
    <row r="227" spans="1:16" ht="18.75" x14ac:dyDescent="0.25">
      <c r="A227" s="148"/>
      <c r="B227" s="149"/>
      <c r="C227" s="149"/>
      <c r="D227" s="254" t="s">
        <v>96</v>
      </c>
      <c r="E227" s="155"/>
      <c r="F227" s="155"/>
      <c r="G227" s="153"/>
      <c r="H227" s="153"/>
      <c r="I227" s="45"/>
      <c r="J227" s="45"/>
      <c r="K227" s="145"/>
      <c r="L227" s="145"/>
      <c r="M227" s="145"/>
      <c r="N227" s="145"/>
      <c r="O227" s="145"/>
      <c r="P227" s="145"/>
    </row>
    <row r="228" spans="1:16" ht="18.75" x14ac:dyDescent="0.25">
      <c r="A228" s="148"/>
      <c r="B228" s="149"/>
      <c r="C228" s="149"/>
      <c r="D228" s="149"/>
      <c r="E228" s="154" t="s">
        <v>97</v>
      </c>
      <c r="F228" s="155"/>
      <c r="G228" s="153"/>
      <c r="H228" s="251" t="s">
        <v>93</v>
      </c>
      <c r="I228" s="169">
        <f ca="1">IFERROR(__xludf.DUMMYFUNCTION("IMPORTRANGE(""https://docs.google.com/spreadsheets/d/1eHaY18a8A9IcSdp1K8H6x8fbOy06t2VsZHhMHf-1x7Y/edit?usp=sharing"",""แผน!AV20"")"),20000)</f>
        <v>20000</v>
      </c>
      <c r="J228" s="250">
        <v>0</v>
      </c>
      <c r="K228" s="163">
        <f ca="1">IF(I228&gt;0,J228*100/I228,0)</f>
        <v>0</v>
      </c>
      <c r="L228" s="145"/>
      <c r="M228" s="145"/>
      <c r="N228" s="145"/>
      <c r="O228" s="145"/>
      <c r="P228" s="145"/>
    </row>
    <row r="229" spans="1:16" ht="18.75" x14ac:dyDescent="0.25">
      <c r="A229" s="148"/>
      <c r="B229" s="149"/>
      <c r="C229" s="149"/>
      <c r="D229" s="149"/>
      <c r="E229" s="154" t="s">
        <v>98</v>
      </c>
      <c r="F229" s="155"/>
      <c r="G229" s="153"/>
      <c r="H229" s="251" t="s">
        <v>93</v>
      </c>
      <c r="I229" s="169">
        <f ca="1">IFERROR(__xludf.DUMMYFUNCTION("IMPORTRANGE(""https://docs.google.com/spreadsheets/d/1eHaY18a8A9IcSdp1K8H6x8fbOy06t2VsZHhMHf-1x7Y/edit?usp=sharing"",""แผน!AV20"")"),20000)</f>
        <v>20000</v>
      </c>
      <c r="J229" s="250">
        <v>0</v>
      </c>
      <c r="K229" s="163">
        <f ca="1">IF(I229&gt;0,J229*100/I229,0)</f>
        <v>0</v>
      </c>
      <c r="L229" s="46"/>
      <c r="M229" s="46"/>
      <c r="N229" s="46"/>
      <c r="O229" s="46"/>
      <c r="P229" s="46"/>
    </row>
    <row r="230" spans="1:16" ht="18.75" x14ac:dyDescent="0.25">
      <c r="A230" s="148"/>
      <c r="B230" s="149"/>
      <c r="C230" s="149"/>
      <c r="D230" s="254" t="s">
        <v>99</v>
      </c>
      <c r="E230" s="155"/>
      <c r="F230" s="155"/>
      <c r="G230" s="153"/>
      <c r="H230" s="251" t="s">
        <v>33</v>
      </c>
      <c r="I230" s="169">
        <f ca="1">IFERROR(__xludf.DUMMYFUNCTION("IMPORTRANGE(""https://docs.google.com/spreadsheets/d/1eHaY18a8A9IcSdp1K8H6x8fbOy06t2VsZHhMHf-1x7Y/edit?usp=sharing"",""แผน!AU20"")"),0)</f>
        <v>0</v>
      </c>
      <c r="J230" s="250">
        <v>0</v>
      </c>
      <c r="K230" s="163">
        <f ca="1">IF(I230&gt;0,J230*100/I230,0)</f>
        <v>0</v>
      </c>
      <c r="L230" s="46"/>
      <c r="M230" s="46"/>
      <c r="N230" s="46"/>
      <c r="O230" s="46"/>
      <c r="P230" s="46"/>
    </row>
    <row r="231" spans="1:16" ht="19.5" hidden="1" x14ac:dyDescent="0.3">
      <c r="A231" s="464"/>
      <c r="B231" s="463"/>
      <c r="C231" s="256" t="s">
        <v>100</v>
      </c>
      <c r="D231" s="462"/>
      <c r="E231" s="462"/>
      <c r="F231" s="462"/>
      <c r="G231" s="461"/>
      <c r="H231" s="257" t="s">
        <v>33</v>
      </c>
      <c r="I231" s="258">
        <f ca="1">I242+I253</f>
        <v>40</v>
      </c>
      <c r="J231" s="258">
        <f>J242+J253</f>
        <v>0</v>
      </c>
      <c r="K231" s="259">
        <f ca="1">IF(I231&gt;0,J231*100/I231,0)</f>
        <v>0</v>
      </c>
      <c r="L231" s="460"/>
      <c r="M231" s="460"/>
      <c r="N231" s="460"/>
      <c r="O231" s="460"/>
      <c r="P231" s="460"/>
    </row>
    <row r="232" spans="1:16" ht="19.5" hidden="1" x14ac:dyDescent="0.3">
      <c r="A232" s="459"/>
      <c r="B232" s="456"/>
      <c r="C232" s="260" t="s">
        <v>16</v>
      </c>
      <c r="D232" s="261" t="s">
        <v>17</v>
      </c>
      <c r="E232" s="456"/>
      <c r="F232" s="456"/>
      <c r="G232" s="455"/>
      <c r="H232" s="262" t="s">
        <v>12</v>
      </c>
      <c r="I232" s="452"/>
      <c r="J232" s="452"/>
      <c r="K232" s="450"/>
      <c r="L232" s="263">
        <f ca="1">L243+L254</f>
        <v>269400</v>
      </c>
      <c r="M232" s="445"/>
      <c r="N232" s="263">
        <f>N243+N254</f>
        <v>0</v>
      </c>
      <c r="O232" s="445"/>
      <c r="P232" s="445"/>
    </row>
    <row r="233" spans="1:16" ht="18.75" hidden="1" x14ac:dyDescent="0.25">
      <c r="A233" s="459"/>
      <c r="B233" s="457"/>
      <c r="C233" s="456"/>
      <c r="D233" s="253" t="s">
        <v>153</v>
      </c>
      <c r="E233" s="456"/>
      <c r="F233" s="456"/>
      <c r="G233" s="455"/>
      <c r="H233" s="146" t="s">
        <v>12</v>
      </c>
      <c r="I233" s="452"/>
      <c r="J233" s="452"/>
      <c r="K233" s="450"/>
      <c r="L233" s="50">
        <f ca="1">L244+L255</f>
        <v>99000</v>
      </c>
      <c r="M233" s="445"/>
      <c r="N233" s="50">
        <f>N244+N255</f>
        <v>0</v>
      </c>
      <c r="O233" s="445"/>
      <c r="P233" s="445"/>
    </row>
    <row r="234" spans="1:16" ht="18.75" hidden="1" x14ac:dyDescent="0.25">
      <c r="A234" s="458"/>
      <c r="B234" s="457"/>
      <c r="C234" s="457"/>
      <c r="D234" s="254" t="s">
        <v>81</v>
      </c>
      <c r="E234" s="456"/>
      <c r="F234" s="456"/>
      <c r="G234" s="455"/>
      <c r="H234" s="146" t="s">
        <v>12</v>
      </c>
      <c r="I234" s="451"/>
      <c r="J234" s="451"/>
      <c r="K234" s="445"/>
      <c r="L234" s="50">
        <f ca="1">L245+L256</f>
        <v>3000</v>
      </c>
      <c r="M234" s="445"/>
      <c r="N234" s="50">
        <f>N245+N256</f>
        <v>0</v>
      </c>
      <c r="O234" s="445"/>
      <c r="P234" s="445"/>
    </row>
    <row r="235" spans="1:16" ht="18.75" hidden="1" x14ac:dyDescent="0.25">
      <c r="A235" s="458"/>
      <c r="B235" s="457"/>
      <c r="C235" s="457"/>
      <c r="D235" s="254" t="s">
        <v>82</v>
      </c>
      <c r="E235" s="456"/>
      <c r="F235" s="456"/>
      <c r="G235" s="455"/>
      <c r="H235" s="146" t="s">
        <v>12</v>
      </c>
      <c r="I235" s="451"/>
      <c r="J235" s="451"/>
      <c r="K235" s="445"/>
      <c r="L235" s="50">
        <f ca="1">L246+L257</f>
        <v>114400</v>
      </c>
      <c r="M235" s="445"/>
      <c r="N235" s="50">
        <f>N246+N257</f>
        <v>0</v>
      </c>
      <c r="O235" s="445"/>
      <c r="P235" s="445"/>
    </row>
    <row r="236" spans="1:16" ht="18.75" hidden="1" x14ac:dyDescent="0.25">
      <c r="A236" s="458"/>
      <c r="B236" s="457"/>
      <c r="C236" s="457"/>
      <c r="D236" s="254" t="s">
        <v>83</v>
      </c>
      <c r="E236" s="456"/>
      <c r="F236" s="456"/>
      <c r="G236" s="455"/>
      <c r="H236" s="146" t="s">
        <v>12</v>
      </c>
      <c r="I236" s="451"/>
      <c r="J236" s="451"/>
      <c r="K236" s="445"/>
      <c r="L236" s="50">
        <f ca="1">L247+L258</f>
        <v>53000</v>
      </c>
      <c r="M236" s="445"/>
      <c r="N236" s="50">
        <f>N247+N258</f>
        <v>0</v>
      </c>
      <c r="O236" s="445"/>
      <c r="P236" s="445"/>
    </row>
    <row r="237" spans="1:16" ht="19.5" hidden="1" x14ac:dyDescent="0.3">
      <c r="A237" s="449"/>
      <c r="B237" s="448"/>
      <c r="C237" s="265" t="s">
        <v>16</v>
      </c>
      <c r="D237" s="394" t="s">
        <v>36</v>
      </c>
      <c r="E237" s="454"/>
      <c r="F237" s="454"/>
      <c r="G237" s="453"/>
      <c r="H237" s="446"/>
      <c r="I237" s="452"/>
      <c r="J237" s="451"/>
      <c r="K237" s="445"/>
      <c r="L237" s="445"/>
      <c r="M237" s="445"/>
      <c r="N237" s="445"/>
      <c r="O237" s="450"/>
      <c r="P237" s="450"/>
    </row>
    <row r="238" spans="1:16" ht="18.75" hidden="1" x14ac:dyDescent="0.25">
      <c r="A238" s="449"/>
      <c r="B238" s="448"/>
      <c r="C238" s="448"/>
      <c r="D238" s="267" t="s">
        <v>103</v>
      </c>
      <c r="E238" s="447"/>
      <c r="F238" s="447"/>
      <c r="G238" s="446"/>
      <c r="H238" s="268" t="s">
        <v>33</v>
      </c>
      <c r="I238" s="200">
        <f ca="1">I249+I260</f>
        <v>40</v>
      </c>
      <c r="J238" s="200">
        <f>J249+J260</f>
        <v>0</v>
      </c>
      <c r="K238" s="50">
        <f ca="1">IF(I238&gt;0,J238*100/I238,0)</f>
        <v>0</v>
      </c>
      <c r="L238" s="445"/>
      <c r="M238" s="445"/>
      <c r="N238" s="445"/>
      <c r="O238" s="445"/>
      <c r="P238" s="445"/>
    </row>
    <row r="239" spans="1:16" ht="18.75" hidden="1" x14ac:dyDescent="0.25">
      <c r="A239" s="449"/>
      <c r="B239" s="448"/>
      <c r="C239" s="448"/>
      <c r="D239" s="269" t="s">
        <v>41</v>
      </c>
      <c r="E239" s="447"/>
      <c r="F239" s="447"/>
      <c r="G239" s="446"/>
      <c r="H239" s="446"/>
      <c r="I239" s="451"/>
      <c r="J239" s="451"/>
      <c r="K239" s="445"/>
      <c r="L239" s="445"/>
      <c r="M239" s="445"/>
      <c r="N239" s="445"/>
      <c r="O239" s="450"/>
      <c r="P239" s="450"/>
    </row>
    <row r="240" spans="1:16" ht="18.75" hidden="1" x14ac:dyDescent="0.25">
      <c r="A240" s="449"/>
      <c r="B240" s="448"/>
      <c r="C240" s="448"/>
      <c r="D240" s="448"/>
      <c r="E240" s="270" t="s">
        <v>104</v>
      </c>
      <c r="F240" s="447"/>
      <c r="G240" s="446"/>
      <c r="H240" s="268" t="s">
        <v>33</v>
      </c>
      <c r="I240" s="200">
        <f>I251+I262</f>
        <v>0</v>
      </c>
      <c r="J240" s="200">
        <f>J251+J262</f>
        <v>0</v>
      </c>
      <c r="K240" s="50">
        <f>IF(I240&gt;0,J240*100/I240,0)</f>
        <v>0</v>
      </c>
      <c r="L240" s="445"/>
      <c r="M240" s="445"/>
      <c r="N240" s="445"/>
      <c r="O240" s="445"/>
      <c r="P240" s="445"/>
    </row>
    <row r="241" spans="1:16" ht="18.75" hidden="1" x14ac:dyDescent="0.25">
      <c r="A241" s="449"/>
      <c r="B241" s="448"/>
      <c r="C241" s="448"/>
      <c r="D241" s="448"/>
      <c r="E241" s="270" t="s">
        <v>105</v>
      </c>
      <c r="F241" s="447"/>
      <c r="G241" s="446"/>
      <c r="H241" s="268" t="s">
        <v>54</v>
      </c>
      <c r="I241" s="200">
        <f>I252+I263</f>
        <v>0</v>
      </c>
      <c r="J241" s="200">
        <f>J252+J263</f>
        <v>0</v>
      </c>
      <c r="K241" s="50">
        <f>IF(I241&gt;0,J241*100/I241,0)</f>
        <v>0</v>
      </c>
      <c r="L241" s="445"/>
      <c r="M241" s="445"/>
      <c r="N241" s="445"/>
      <c r="O241" s="445"/>
      <c r="P241" s="445"/>
    </row>
    <row r="242" spans="1:16" ht="19.5" x14ac:dyDescent="0.3">
      <c r="A242" s="444"/>
      <c r="B242" s="443"/>
      <c r="C242" s="442" t="s">
        <v>162</v>
      </c>
      <c r="D242" s="441"/>
      <c r="E242" s="441"/>
      <c r="F242" s="441"/>
      <c r="G242" s="440"/>
      <c r="H242" s="439" t="s">
        <v>33</v>
      </c>
      <c r="I242" s="438">
        <f ca="1">I249</f>
        <v>40</v>
      </c>
      <c r="J242" s="438">
        <f>J249</f>
        <v>0</v>
      </c>
      <c r="K242" s="437">
        <f ca="1">IF(I242&gt;0,J242*100/I242,0)</f>
        <v>0</v>
      </c>
      <c r="L242" s="436"/>
      <c r="M242" s="436"/>
      <c r="N242" s="436"/>
      <c r="O242" s="436"/>
      <c r="P242" s="436"/>
    </row>
    <row r="243" spans="1:16" ht="19.5" x14ac:dyDescent="0.3">
      <c r="A243" s="431"/>
      <c r="B243" s="428"/>
      <c r="C243" s="435" t="s">
        <v>16</v>
      </c>
      <c r="D243" s="434" t="s">
        <v>17</v>
      </c>
      <c r="E243" s="428"/>
      <c r="F243" s="428"/>
      <c r="G243" s="427"/>
      <c r="H243" s="433" t="s">
        <v>12</v>
      </c>
      <c r="I243" s="420"/>
      <c r="J243" s="420"/>
      <c r="K243" s="416"/>
      <c r="L243" s="432">
        <f ca="1">L244+L245+L246+L247</f>
        <v>269400</v>
      </c>
      <c r="M243" s="406"/>
      <c r="N243" s="432">
        <f>N244+N245+N246+N247</f>
        <v>0</v>
      </c>
      <c r="O243" s="432">
        <f ca="1">IF(L243&gt;0,N243*100/L243,0)</f>
        <v>0</v>
      </c>
      <c r="P243" s="432">
        <f>IF(M243&gt;0,N243*100/M243,0)</f>
        <v>0</v>
      </c>
    </row>
    <row r="244" spans="1:16" ht="18.75" x14ac:dyDescent="0.25">
      <c r="A244" s="431"/>
      <c r="B244" s="429"/>
      <c r="C244" s="428"/>
      <c r="D244" s="253" t="s">
        <v>153</v>
      </c>
      <c r="E244" s="428"/>
      <c r="F244" s="428"/>
      <c r="G244" s="427"/>
      <c r="H244" s="426" t="s">
        <v>12</v>
      </c>
      <c r="I244" s="420"/>
      <c r="J244" s="420"/>
      <c r="K244" s="416"/>
      <c r="L244" s="407">
        <f ca="1">IFERROR(__xludf.DUMMYFUNCTION("IMPORTRANGE(""https://docs.google.com/spreadsheets/d/1eHaY18a8A9IcSdp1K8H6x8fbOy06t2VsZHhMHf-1x7Y/edit?usp=sharing"",""แผน!AX20"")"),99000)</f>
        <v>99000</v>
      </c>
      <c r="M244" s="406"/>
      <c r="N244" s="425">
        <v>0</v>
      </c>
      <c r="O244" s="406"/>
      <c r="P244" s="406"/>
    </row>
    <row r="245" spans="1:16" ht="18.75" x14ac:dyDescent="0.25">
      <c r="A245" s="430"/>
      <c r="B245" s="429"/>
      <c r="C245" s="429"/>
      <c r="D245" s="254" t="s">
        <v>81</v>
      </c>
      <c r="E245" s="428"/>
      <c r="F245" s="428"/>
      <c r="G245" s="427"/>
      <c r="H245" s="426" t="s">
        <v>12</v>
      </c>
      <c r="I245" s="417"/>
      <c r="J245" s="417"/>
      <c r="K245" s="406"/>
      <c r="L245" s="407">
        <f ca="1">IFERROR(__xludf.DUMMYFUNCTION("IMPORTRANGE(""https://docs.google.com/spreadsheets/d/1eHaY18a8A9IcSdp1K8H6x8fbOy06t2VsZHhMHf-1x7Y/edit?usp=sharing"",""แผน!AY20"")"),3000)</f>
        <v>3000</v>
      </c>
      <c r="M245" s="406"/>
      <c r="N245" s="425">
        <v>0</v>
      </c>
      <c r="O245" s="406"/>
      <c r="P245" s="406"/>
    </row>
    <row r="246" spans="1:16" ht="18.75" x14ac:dyDescent="0.25">
      <c r="A246" s="430"/>
      <c r="B246" s="429"/>
      <c r="C246" s="429"/>
      <c r="D246" s="254" t="s">
        <v>82</v>
      </c>
      <c r="E246" s="428"/>
      <c r="F246" s="428"/>
      <c r="G246" s="427"/>
      <c r="H246" s="426" t="s">
        <v>12</v>
      </c>
      <c r="I246" s="417"/>
      <c r="J246" s="417"/>
      <c r="K246" s="406"/>
      <c r="L246" s="407">
        <f ca="1">IFERROR(__xludf.DUMMYFUNCTION("IMPORTRANGE(""https://docs.google.com/spreadsheets/d/1eHaY18a8A9IcSdp1K8H6x8fbOy06t2VsZHhMHf-1x7Y/edit?usp=sharing"",""แผน!AZ20"")"),114400)</f>
        <v>114400</v>
      </c>
      <c r="M246" s="406"/>
      <c r="N246" s="425">
        <v>0</v>
      </c>
      <c r="O246" s="406"/>
      <c r="P246" s="406"/>
    </row>
    <row r="247" spans="1:16" ht="18.75" x14ac:dyDescent="0.25">
      <c r="A247" s="430"/>
      <c r="B247" s="429"/>
      <c r="C247" s="429"/>
      <c r="D247" s="254" t="s">
        <v>83</v>
      </c>
      <c r="E247" s="428"/>
      <c r="F247" s="428"/>
      <c r="G247" s="427"/>
      <c r="H247" s="426" t="s">
        <v>12</v>
      </c>
      <c r="I247" s="417"/>
      <c r="J247" s="417"/>
      <c r="K247" s="406"/>
      <c r="L247" s="407">
        <f ca="1">IFERROR(__xludf.DUMMYFUNCTION("IMPORTRANGE(""https://docs.google.com/spreadsheets/d/1eHaY18a8A9IcSdp1K8H6x8fbOy06t2VsZHhMHf-1x7Y/edit?usp=sharing"",""แผน!BA20"")"),53000)</f>
        <v>53000</v>
      </c>
      <c r="M247" s="406"/>
      <c r="N247" s="425">
        <v>0</v>
      </c>
      <c r="O247" s="406"/>
      <c r="P247" s="406"/>
    </row>
    <row r="248" spans="1:16" ht="19.5" x14ac:dyDescent="0.3">
      <c r="A248" s="415"/>
      <c r="B248" s="414"/>
      <c r="C248" s="424" t="s">
        <v>16</v>
      </c>
      <c r="D248" s="423" t="s">
        <v>36</v>
      </c>
      <c r="E248" s="422"/>
      <c r="F248" s="422"/>
      <c r="G248" s="421"/>
      <c r="H248" s="411"/>
      <c r="I248" s="420"/>
      <c r="J248" s="417"/>
      <c r="K248" s="406"/>
      <c r="L248" s="406"/>
      <c r="M248" s="406"/>
      <c r="N248" s="406"/>
      <c r="O248" s="416"/>
      <c r="P248" s="416"/>
    </row>
    <row r="249" spans="1:16" ht="18.75" x14ac:dyDescent="0.25">
      <c r="A249" s="415"/>
      <c r="B249" s="414"/>
      <c r="C249" s="414"/>
      <c r="D249" s="419" t="s">
        <v>103</v>
      </c>
      <c r="E249" s="412"/>
      <c r="F249" s="412"/>
      <c r="G249" s="411"/>
      <c r="H249" s="410" t="s">
        <v>33</v>
      </c>
      <c r="I249" s="409">
        <f ca="1">IFERROR(__xludf.DUMMYFUNCTION("IMPORTRANGE(""https://docs.google.com/spreadsheets/d/1eHaY18a8A9IcSdp1K8H6x8fbOy06t2VsZHhMHf-1x7Y/edit?usp=sharing"",""แผน!BG20"")"),40)</f>
        <v>40</v>
      </c>
      <c r="J249" s="408">
        <v>0</v>
      </c>
      <c r="K249" s="407">
        <f ca="1">IF(I249&gt;0,J249*100/I249,0)</f>
        <v>0</v>
      </c>
      <c r="L249" s="406"/>
      <c r="M249" s="406"/>
      <c r="N249" s="406"/>
      <c r="O249" s="406"/>
      <c r="P249" s="406"/>
    </row>
    <row r="250" spans="1:16" ht="18.75" x14ac:dyDescent="0.25">
      <c r="A250" s="415"/>
      <c r="B250" s="414"/>
      <c r="C250" s="414"/>
      <c r="D250" s="418" t="s">
        <v>41</v>
      </c>
      <c r="E250" s="412"/>
      <c r="F250" s="412"/>
      <c r="G250" s="411"/>
      <c r="H250" s="411"/>
      <c r="I250" s="417"/>
      <c r="J250" s="417"/>
      <c r="K250" s="406"/>
      <c r="L250" s="406"/>
      <c r="M250" s="406"/>
      <c r="N250" s="406"/>
      <c r="O250" s="416"/>
      <c r="P250" s="416"/>
    </row>
    <row r="251" spans="1:16" ht="18.75" x14ac:dyDescent="0.25">
      <c r="A251" s="415"/>
      <c r="B251" s="414"/>
      <c r="C251" s="414"/>
      <c r="D251" s="414"/>
      <c r="E251" s="413" t="s">
        <v>104</v>
      </c>
      <c r="F251" s="412"/>
      <c r="G251" s="411"/>
      <c r="H251" s="410" t="s">
        <v>33</v>
      </c>
      <c r="I251" s="409">
        <v>0</v>
      </c>
      <c r="J251" s="408">
        <v>0</v>
      </c>
      <c r="K251" s="407">
        <f>IF(I251&gt;0,J251*100/I251,0)</f>
        <v>0</v>
      </c>
      <c r="L251" s="406"/>
      <c r="M251" s="406"/>
      <c r="N251" s="406"/>
      <c r="O251" s="406"/>
      <c r="P251" s="406"/>
    </row>
    <row r="252" spans="1:16" ht="18.75" x14ac:dyDescent="0.25">
      <c r="A252" s="415"/>
      <c r="B252" s="414"/>
      <c r="C252" s="414"/>
      <c r="D252" s="414"/>
      <c r="E252" s="413" t="s">
        <v>105</v>
      </c>
      <c r="F252" s="412"/>
      <c r="G252" s="411"/>
      <c r="H252" s="410" t="s">
        <v>54</v>
      </c>
      <c r="I252" s="409">
        <v>0</v>
      </c>
      <c r="J252" s="408">
        <v>0</v>
      </c>
      <c r="K252" s="407">
        <f>IF(I252&gt;0,J252*100/I252,0)</f>
        <v>0</v>
      </c>
      <c r="L252" s="406"/>
      <c r="M252" s="406"/>
      <c r="N252" s="406"/>
      <c r="O252" s="406"/>
      <c r="P252" s="406"/>
    </row>
    <row r="253" spans="1:16" ht="19.5" hidden="1" x14ac:dyDescent="0.3">
      <c r="A253" s="233"/>
      <c r="B253" s="234"/>
      <c r="C253" s="256" t="s">
        <v>107</v>
      </c>
      <c r="D253" s="236"/>
      <c r="E253" s="236"/>
      <c r="F253" s="236"/>
      <c r="G253" s="237"/>
      <c r="H253" s="257" t="s">
        <v>33</v>
      </c>
      <c r="I253" s="258">
        <f ca="1">I260</f>
        <v>0</v>
      </c>
      <c r="J253" s="258">
        <f>J260</f>
        <v>0</v>
      </c>
      <c r="K253" s="259">
        <f ca="1">IF(I253&gt;0,J253*100/I253,0)</f>
        <v>0</v>
      </c>
      <c r="L253" s="241"/>
      <c r="M253" s="241"/>
      <c r="N253" s="241"/>
      <c r="O253" s="241"/>
      <c r="P253" s="241"/>
    </row>
    <row r="254" spans="1:16" ht="19.5" hidden="1" x14ac:dyDescent="0.3">
      <c r="A254" s="136"/>
      <c r="B254" s="41"/>
      <c r="C254" s="260" t="s">
        <v>16</v>
      </c>
      <c r="D254" s="399" t="s">
        <v>17</v>
      </c>
      <c r="E254" s="41"/>
      <c r="F254" s="41"/>
      <c r="G254" s="43"/>
      <c r="H254" s="262" t="s">
        <v>12</v>
      </c>
      <c r="I254" s="144"/>
      <c r="J254" s="144"/>
      <c r="K254" s="145"/>
      <c r="L254" s="263">
        <f ca="1">L255+L256+L257+L258</f>
        <v>0</v>
      </c>
      <c r="M254" s="46"/>
      <c r="N254" s="263">
        <f>N255+N256+N257+N258</f>
        <v>0</v>
      </c>
      <c r="O254" s="263">
        <f ca="1">IF(L254&gt;0,N254*100/L254,0)</f>
        <v>0</v>
      </c>
      <c r="P254" s="263">
        <f>IF(M254&gt;0,N254*100/M254,0)</f>
        <v>0</v>
      </c>
    </row>
    <row r="255" spans="1:16" ht="18.75" hidden="1" x14ac:dyDescent="0.25">
      <c r="A255" s="136"/>
      <c r="B255" s="228"/>
      <c r="C255" s="41"/>
      <c r="D255" s="253" t="s">
        <v>153</v>
      </c>
      <c r="E255" s="41"/>
      <c r="F255" s="41"/>
      <c r="G255" s="43"/>
      <c r="H255" s="146" t="s">
        <v>12</v>
      </c>
      <c r="I255" s="144"/>
      <c r="J255" s="144"/>
      <c r="K255" s="145"/>
      <c r="L255" s="50">
        <f ca="1">IFERROR(__xludf.DUMMYFUNCTION("IMPORTRANGE(""https://docs.google.com/spreadsheets/d/1eHaY18a8A9IcSdp1K8H6x8fbOy06t2VsZHhMHf-1x7Y/edit?usp=sharing"",""แผน!BB20"")"),0)</f>
        <v>0</v>
      </c>
      <c r="M255" s="46"/>
      <c r="N255" s="264">
        <v>0</v>
      </c>
      <c r="O255" s="46"/>
      <c r="P255" s="46"/>
    </row>
    <row r="256" spans="1:16" ht="18.75" hidden="1" x14ac:dyDescent="0.25">
      <c r="A256" s="227"/>
      <c r="B256" s="228"/>
      <c r="C256" s="228"/>
      <c r="D256" s="254" t="s">
        <v>81</v>
      </c>
      <c r="E256" s="41"/>
      <c r="F256" s="41"/>
      <c r="G256" s="43"/>
      <c r="H256" s="146" t="s">
        <v>12</v>
      </c>
      <c r="I256" s="45"/>
      <c r="J256" s="45"/>
      <c r="K256" s="46"/>
      <c r="L256" s="50">
        <f ca="1">IFERROR(__xludf.DUMMYFUNCTION("IMPORTRANGE(""https://docs.google.com/spreadsheets/d/1eHaY18a8A9IcSdp1K8H6x8fbOy06t2VsZHhMHf-1x7Y/edit?usp=sharing"",""แผน!BC20"")"),0)</f>
        <v>0</v>
      </c>
      <c r="M256" s="46"/>
      <c r="N256" s="264">
        <v>0</v>
      </c>
      <c r="O256" s="46"/>
      <c r="P256" s="46"/>
    </row>
    <row r="257" spans="1:16" ht="18.75" hidden="1" x14ac:dyDescent="0.25">
      <c r="A257" s="227"/>
      <c r="B257" s="228"/>
      <c r="C257" s="228"/>
      <c r="D257" s="254" t="s">
        <v>82</v>
      </c>
      <c r="E257" s="41"/>
      <c r="F257" s="41"/>
      <c r="G257" s="43"/>
      <c r="H257" s="146" t="s">
        <v>12</v>
      </c>
      <c r="I257" s="45"/>
      <c r="J257" s="45"/>
      <c r="K257" s="46"/>
      <c r="L257" s="50">
        <f ca="1">IFERROR(__xludf.DUMMYFUNCTION("IMPORTRANGE(""https://docs.google.com/spreadsheets/d/1eHaY18a8A9IcSdp1K8H6x8fbOy06t2VsZHhMHf-1x7Y/edit?usp=sharing"",""แผน!BD20"")"),0)</f>
        <v>0</v>
      </c>
      <c r="M257" s="46"/>
      <c r="N257" s="264">
        <v>0</v>
      </c>
      <c r="O257" s="46"/>
      <c r="P257" s="46"/>
    </row>
    <row r="258" spans="1:16" ht="18.75" hidden="1" x14ac:dyDescent="0.25">
      <c r="A258" s="227"/>
      <c r="B258" s="228"/>
      <c r="C258" s="228"/>
      <c r="D258" s="254" t="s">
        <v>83</v>
      </c>
      <c r="E258" s="41"/>
      <c r="F258" s="41"/>
      <c r="G258" s="43"/>
      <c r="H258" s="146" t="s">
        <v>12</v>
      </c>
      <c r="I258" s="45"/>
      <c r="J258" s="45"/>
      <c r="K258" s="46"/>
      <c r="L258" s="50">
        <f ca="1">IFERROR(__xludf.DUMMYFUNCTION("IMPORTRANGE(""https://docs.google.com/spreadsheets/d/1eHaY18a8A9IcSdp1K8H6x8fbOy06t2VsZHhMHf-1x7Y/edit?usp=sharing"",""แผน!BE20"")"),0)</f>
        <v>0</v>
      </c>
      <c r="M258" s="46"/>
      <c r="N258" s="264">
        <v>0</v>
      </c>
      <c r="O258" s="46"/>
      <c r="P258" s="46"/>
    </row>
    <row r="259" spans="1:16" ht="19.5" hidden="1" x14ac:dyDescent="0.3">
      <c r="A259" s="148"/>
      <c r="B259" s="149"/>
      <c r="C259" s="265" t="s">
        <v>16</v>
      </c>
      <c r="D259" s="394" t="s">
        <v>36</v>
      </c>
      <c r="E259" s="151"/>
      <c r="F259" s="151"/>
      <c r="G259" s="152"/>
      <c r="H259" s="153"/>
      <c r="I259" s="144"/>
      <c r="J259" s="45"/>
      <c r="K259" s="46"/>
      <c r="L259" s="46"/>
      <c r="M259" s="46"/>
      <c r="N259" s="46"/>
      <c r="O259" s="145"/>
      <c r="P259" s="145"/>
    </row>
    <row r="260" spans="1:16" ht="18.75" hidden="1" x14ac:dyDescent="0.25">
      <c r="A260" s="148"/>
      <c r="B260" s="149"/>
      <c r="C260" s="149"/>
      <c r="D260" s="267" t="s">
        <v>103</v>
      </c>
      <c r="E260" s="155"/>
      <c r="F260" s="155"/>
      <c r="G260" s="153"/>
      <c r="H260" s="268" t="s">
        <v>33</v>
      </c>
      <c r="I260" s="200">
        <f ca="1">IFERROR(__xludf.DUMMYFUNCTION("IMPORTRANGE(""https://docs.google.com/spreadsheets/d/1eHaY18a8A9IcSdp1K8H6x8fbOy06t2VsZHhMHf-1x7Y/edit?usp=sharing"",""แผน!BH20"")"),0)</f>
        <v>0</v>
      </c>
      <c r="J260" s="201">
        <v>0</v>
      </c>
      <c r="K260" s="50">
        <f ca="1">IF(I260&gt;0,J260*100/I260,0)</f>
        <v>0</v>
      </c>
      <c r="L260" s="46"/>
      <c r="M260" s="46"/>
      <c r="N260" s="46"/>
      <c r="O260" s="46"/>
      <c r="P260" s="46"/>
    </row>
    <row r="261" spans="1:16" ht="18.75" hidden="1" x14ac:dyDescent="0.25">
      <c r="A261" s="148"/>
      <c r="B261" s="149"/>
      <c r="C261" s="149"/>
      <c r="D261" s="269" t="s">
        <v>41</v>
      </c>
      <c r="E261" s="155"/>
      <c r="F261" s="155"/>
      <c r="G261" s="153"/>
      <c r="H261" s="153"/>
      <c r="I261" s="45"/>
      <c r="J261" s="45"/>
      <c r="K261" s="46"/>
      <c r="L261" s="46"/>
      <c r="M261" s="46"/>
      <c r="N261" s="46"/>
      <c r="O261" s="145"/>
      <c r="P261" s="145"/>
    </row>
    <row r="262" spans="1:16" ht="18.75" hidden="1" x14ac:dyDescent="0.25">
      <c r="A262" s="148"/>
      <c r="B262" s="149"/>
      <c r="C262" s="149"/>
      <c r="D262" s="149"/>
      <c r="E262" s="270" t="s">
        <v>104</v>
      </c>
      <c r="F262" s="155"/>
      <c r="G262" s="153"/>
      <c r="H262" s="268" t="s">
        <v>33</v>
      </c>
      <c r="I262" s="45"/>
      <c r="J262" s="201">
        <v>0</v>
      </c>
      <c r="K262" s="50">
        <f>IF(I262&gt;0,J262*100/I262,0)</f>
        <v>0</v>
      </c>
      <c r="L262" s="46"/>
      <c r="M262" s="46"/>
      <c r="N262" s="46"/>
      <c r="O262" s="46"/>
      <c r="P262" s="46"/>
    </row>
    <row r="263" spans="1:16" ht="18.75" hidden="1" x14ac:dyDescent="0.25">
      <c r="A263" s="148"/>
      <c r="B263" s="149"/>
      <c r="C263" s="149"/>
      <c r="D263" s="149"/>
      <c r="E263" s="270" t="s">
        <v>105</v>
      </c>
      <c r="F263" s="155"/>
      <c r="G263" s="153"/>
      <c r="H263" s="268" t="s">
        <v>54</v>
      </c>
      <c r="I263" s="45"/>
      <c r="J263" s="201">
        <v>0</v>
      </c>
      <c r="K263" s="50">
        <f>IF(I263&gt;0,J263*100/I263,0)</f>
        <v>0</v>
      </c>
      <c r="L263" s="46"/>
      <c r="M263" s="46"/>
      <c r="N263" s="46"/>
      <c r="O263" s="46"/>
      <c r="P263" s="46"/>
    </row>
    <row r="264" spans="1:16" ht="19.5" hidden="1" x14ac:dyDescent="0.3">
      <c r="A264" s="272" t="s">
        <v>108</v>
      </c>
      <c r="B264" s="215"/>
      <c r="C264" s="215"/>
      <c r="D264" s="216"/>
      <c r="E264" s="216"/>
      <c r="F264" s="216"/>
      <c r="G264" s="217"/>
      <c r="H264" s="217"/>
      <c r="I264" s="218"/>
      <c r="J264" s="218"/>
      <c r="K264" s="219"/>
      <c r="L264" s="219"/>
      <c r="M264" s="219"/>
      <c r="N264" s="219"/>
      <c r="O264" s="219"/>
      <c r="P264" s="219"/>
    </row>
    <row r="265" spans="1:16" ht="19.5" hidden="1" x14ac:dyDescent="0.3">
      <c r="A265" s="220"/>
      <c r="B265" s="273" t="s">
        <v>109</v>
      </c>
      <c r="C265" s="222"/>
      <c r="D265" s="151"/>
      <c r="E265" s="151"/>
      <c r="F265" s="151"/>
      <c r="G265" s="152"/>
      <c r="H265" s="274" t="s">
        <v>33</v>
      </c>
      <c r="I265" s="275">
        <f>I276</f>
        <v>0</v>
      </c>
      <c r="J265" s="275">
        <f>J276</f>
        <v>0</v>
      </c>
      <c r="K265" s="276">
        <f>IF(I265&gt;0,J265*100/I265,0)</f>
        <v>0</v>
      </c>
      <c r="L265" s="226"/>
      <c r="M265" s="226"/>
      <c r="N265" s="226"/>
      <c r="O265" s="226"/>
      <c r="P265" s="226"/>
    </row>
    <row r="266" spans="1:16" ht="19.5" hidden="1" x14ac:dyDescent="0.3">
      <c r="A266" s="136"/>
      <c r="B266" s="41"/>
      <c r="C266" s="260" t="s">
        <v>16</v>
      </c>
      <c r="D266" s="261" t="s">
        <v>17</v>
      </c>
      <c r="E266" s="41"/>
      <c r="F266" s="41"/>
      <c r="G266" s="43"/>
      <c r="H266" s="277" t="s">
        <v>12</v>
      </c>
      <c r="I266" s="45"/>
      <c r="J266" s="45"/>
      <c r="K266" s="46"/>
      <c r="L266" s="263">
        <f ca="1">L267+L268</f>
        <v>0</v>
      </c>
      <c r="M266" s="263">
        <f ca="1">M267+M268</f>
        <v>0</v>
      </c>
      <c r="N266" s="263">
        <f ca="1">N267+N268</f>
        <v>0</v>
      </c>
      <c r="O266" s="263">
        <f ca="1">IF(L266&gt;0,N266*100/L266,0)</f>
        <v>0</v>
      </c>
      <c r="P266" s="263">
        <f ca="1">IF(M266&gt;0,N266*100/M266,0)</f>
        <v>0</v>
      </c>
    </row>
    <row r="267" spans="1:16" ht="18.75" hidden="1" x14ac:dyDescent="0.25">
      <c r="A267" s="136"/>
      <c r="B267" s="41"/>
      <c r="C267" s="41"/>
      <c r="D267" s="41"/>
      <c r="E267" s="279" t="s">
        <v>18</v>
      </c>
      <c r="F267" s="41"/>
      <c r="G267" s="43"/>
      <c r="H267" s="141" t="s">
        <v>12</v>
      </c>
      <c r="I267" s="45"/>
      <c r="J267" s="45"/>
      <c r="K267" s="46"/>
      <c r="L267" s="50">
        <f>L270+L273</f>
        <v>0</v>
      </c>
      <c r="M267" s="50">
        <f>M270+M273</f>
        <v>0</v>
      </c>
      <c r="N267" s="50">
        <f>N270+N273</f>
        <v>0</v>
      </c>
      <c r="O267" s="50">
        <f>IF(L267&gt;0,N267*100/L267,0)</f>
        <v>0</v>
      </c>
      <c r="P267" s="50">
        <f>IF(M267&gt;0,N267*100/M267,0)</f>
        <v>0</v>
      </c>
    </row>
    <row r="268" spans="1:16" ht="18.75" hidden="1" x14ac:dyDescent="0.25">
      <c r="A268" s="136"/>
      <c r="B268" s="41"/>
      <c r="C268" s="41"/>
      <c r="D268" s="41"/>
      <c r="E268" s="279" t="s">
        <v>19</v>
      </c>
      <c r="F268" s="41"/>
      <c r="G268" s="43"/>
      <c r="H268" s="141" t="s">
        <v>12</v>
      </c>
      <c r="I268" s="45"/>
      <c r="J268" s="45"/>
      <c r="K268" s="46"/>
      <c r="L268" s="50">
        <f ca="1">L271+L274</f>
        <v>0</v>
      </c>
      <c r="M268" s="50">
        <f ca="1">M271+M274</f>
        <v>0</v>
      </c>
      <c r="N268" s="50">
        <f ca="1">N271+N274</f>
        <v>0</v>
      </c>
      <c r="O268" s="50">
        <f ca="1">IF(L268&gt;0,N268*100/L268,0)</f>
        <v>0</v>
      </c>
      <c r="P268" s="50">
        <f ca="1">IF(M268&gt;0,N268*100/M268,0)</f>
        <v>0</v>
      </c>
    </row>
    <row r="269" spans="1:16" ht="18.75" hidden="1" x14ac:dyDescent="0.25">
      <c r="A269" s="136"/>
      <c r="B269" s="41"/>
      <c r="C269" s="41"/>
      <c r="D269" s="278" t="s">
        <v>20</v>
      </c>
      <c r="E269" s="41"/>
      <c r="F269" s="41"/>
      <c r="G269" s="43"/>
      <c r="H269" s="146" t="s">
        <v>12</v>
      </c>
      <c r="I269" s="144"/>
      <c r="J269" s="144"/>
      <c r="K269" s="145"/>
      <c r="L269" s="50">
        <f ca="1">L270+L271</f>
        <v>0</v>
      </c>
      <c r="M269" s="50">
        <f ca="1">M270+M271</f>
        <v>0</v>
      </c>
      <c r="N269" s="50">
        <f ca="1">N270+N271</f>
        <v>0</v>
      </c>
      <c r="O269" s="50">
        <f ca="1">IF(L269&gt;0,N269*100/L269,0)</f>
        <v>0</v>
      </c>
      <c r="P269" s="50">
        <f ca="1">IF(M269&gt;0,N269*100/M269,0)</f>
        <v>0</v>
      </c>
    </row>
    <row r="270" spans="1:16" ht="18.75" hidden="1" x14ac:dyDescent="0.25">
      <c r="A270" s="136"/>
      <c r="B270" s="41"/>
      <c r="C270" s="41"/>
      <c r="D270" s="41"/>
      <c r="E270" s="279" t="s">
        <v>34</v>
      </c>
      <c r="F270" s="41"/>
      <c r="G270" s="43"/>
      <c r="H270" s="146" t="s">
        <v>12</v>
      </c>
      <c r="I270" s="144"/>
      <c r="J270" s="144"/>
      <c r="K270" s="145"/>
      <c r="L270" s="50">
        <v>0</v>
      </c>
      <c r="M270" s="50">
        <v>0</v>
      </c>
      <c r="N270" s="50">
        <v>0</v>
      </c>
      <c r="O270" s="50">
        <f>IF(L270&gt;0,N270*100/L270,0)</f>
        <v>0</v>
      </c>
      <c r="P270" s="50">
        <f>IF(M270&gt;0,N270*100/M270,0)</f>
        <v>0</v>
      </c>
    </row>
    <row r="271" spans="1:16" ht="18.75" hidden="1" x14ac:dyDescent="0.25">
      <c r="A271" s="136"/>
      <c r="B271" s="41"/>
      <c r="C271" s="41"/>
      <c r="D271" s="41"/>
      <c r="E271" s="279" t="s">
        <v>35</v>
      </c>
      <c r="F271" s="41"/>
      <c r="G271" s="43"/>
      <c r="H271" s="146" t="s">
        <v>12</v>
      </c>
      <c r="I271" s="144"/>
      <c r="J271" s="144"/>
      <c r="K271" s="145"/>
      <c r="L271" s="50">
        <f ca="1">IFERROR(__xludf.DUMMYFUNCTION("IMPORTRANGE(""https://docs.google.com/spreadsheets/d/1-uDff_7J0KD5mKrp0Vvzr7lt3OU09vwQwhkpOPPYv2Y/edit?usp=sharing"",""งบพรบ!DE20"")"),0)</f>
        <v>0</v>
      </c>
      <c r="M271" s="50">
        <f ca="1">IFERROR(__xludf.DUMMYFUNCTION("IMPORTRANGE(""https://docs.google.com/spreadsheets/d/1-uDff_7J0KD5mKrp0Vvzr7lt3OU09vwQwhkpOPPYv2Y/edit?usp=sharing"",""งบพรบ!DJ20"")"),0)</f>
        <v>0</v>
      </c>
      <c r="N271" s="50">
        <f ca="1">IFERROR(__xludf.DUMMYFUNCTION("IMPORTRANGE(""https://docs.google.com/spreadsheets/d/1-uDff_7J0KD5mKrp0Vvzr7lt3OU09vwQwhkpOPPYv2Y/edit?usp=sharing"",""งบพรบ!DL20"")"),0)</f>
        <v>0</v>
      </c>
      <c r="O271" s="50">
        <f ca="1">IF(L271&gt;0,N271*100/L271,0)</f>
        <v>0</v>
      </c>
      <c r="P271" s="50">
        <f ca="1">IF(M271&gt;0,N271*100/M271,0)</f>
        <v>0</v>
      </c>
    </row>
    <row r="272" spans="1:16" ht="18.75" hidden="1" x14ac:dyDescent="0.25">
      <c r="A272" s="136"/>
      <c r="B272" s="41"/>
      <c r="C272" s="41"/>
      <c r="D272" s="278" t="s">
        <v>21</v>
      </c>
      <c r="E272" s="41"/>
      <c r="F272" s="41"/>
      <c r="G272" s="43"/>
      <c r="H272" s="199" t="s">
        <v>12</v>
      </c>
      <c r="I272" s="144"/>
      <c r="J272" s="144"/>
      <c r="K272" s="145"/>
      <c r="L272" s="50">
        <f ca="1">L273+L274</f>
        <v>0</v>
      </c>
      <c r="M272" s="50">
        <f ca="1">M273+M274</f>
        <v>0</v>
      </c>
      <c r="N272" s="50">
        <f ca="1">N273+N274</f>
        <v>0</v>
      </c>
      <c r="O272" s="50">
        <f ca="1">IF(L272&gt;0,N272*100/L272,0)</f>
        <v>0</v>
      </c>
      <c r="P272" s="50">
        <f ca="1">IF(M272&gt;0,N272*100/M272,0)</f>
        <v>0</v>
      </c>
    </row>
    <row r="273" spans="1:16" ht="18.75" hidden="1" x14ac:dyDescent="0.25">
      <c r="A273" s="136"/>
      <c r="B273" s="41"/>
      <c r="C273" s="41"/>
      <c r="D273" s="41"/>
      <c r="E273" s="279" t="s">
        <v>18</v>
      </c>
      <c r="F273" s="41"/>
      <c r="G273" s="43"/>
      <c r="H273" s="146" t="s">
        <v>12</v>
      </c>
      <c r="I273" s="144"/>
      <c r="J273" s="144"/>
      <c r="K273" s="145"/>
      <c r="L273" s="50">
        <v>0</v>
      </c>
      <c r="M273" s="50">
        <v>0</v>
      </c>
      <c r="N273" s="50">
        <v>0</v>
      </c>
      <c r="O273" s="50">
        <f>IF(L273&gt;0,N273*100/L273,0)</f>
        <v>0</v>
      </c>
      <c r="P273" s="50">
        <f>IF(M273&gt;0,N273*100/M273,0)</f>
        <v>0</v>
      </c>
    </row>
    <row r="274" spans="1:16" ht="18.75" hidden="1" x14ac:dyDescent="0.25">
      <c r="A274" s="136"/>
      <c r="B274" s="41"/>
      <c r="C274" s="41"/>
      <c r="D274" s="41"/>
      <c r="E274" s="279" t="s">
        <v>19</v>
      </c>
      <c r="F274" s="41"/>
      <c r="G274" s="43"/>
      <c r="H274" s="199" t="s">
        <v>12</v>
      </c>
      <c r="I274" s="144"/>
      <c r="J274" s="144"/>
      <c r="K274" s="145"/>
      <c r="L274" s="50">
        <f ca="1">IFERROR(__xludf.DUMMYFUNCTION("IMPORTRANGE(""https://docs.google.com/spreadsheets/d/1-uDff_7J0KD5mKrp0Vvzr7lt3OU09vwQwhkpOPPYv2Y/edit?usp=sharing"",""งบพรบ!DH20"")"),0)</f>
        <v>0</v>
      </c>
      <c r="M274" s="50">
        <f ca="1">IFERROR(__xludf.DUMMYFUNCTION("IMPORTRANGE(""https://docs.google.com/spreadsheets/d/1-uDff_7J0KD5mKrp0Vvzr7lt3OU09vwQwhkpOPPYv2Y/edit?usp=sharing"",""งบพรบ!DK20"")"),0)</f>
        <v>0</v>
      </c>
      <c r="N274" s="50">
        <f ca="1">IFERROR(__xludf.DUMMYFUNCTION("IMPORTRANGE(""https://docs.google.com/spreadsheets/d/1-uDff_7J0KD5mKrp0Vvzr7lt3OU09vwQwhkpOPPYv2Y/edit?usp=sharing"",""งบพรบ!DM20"")"),0)</f>
        <v>0</v>
      </c>
      <c r="O274" s="50">
        <f ca="1">IF(L274&gt;0,N274*100/L274,0)</f>
        <v>0</v>
      </c>
      <c r="P274" s="50">
        <f ca="1">IF(M274&gt;0,N274*100/M274,0)</f>
        <v>0</v>
      </c>
    </row>
    <row r="275" spans="1:16" ht="19.5" hidden="1" x14ac:dyDescent="0.3">
      <c r="A275" s="148"/>
      <c r="B275" s="149"/>
      <c r="C275" s="279" t="s">
        <v>16</v>
      </c>
      <c r="D275" s="394" t="s">
        <v>36</v>
      </c>
      <c r="E275" s="151"/>
      <c r="F275" s="151"/>
      <c r="G275" s="152"/>
      <c r="H275" s="153"/>
      <c r="I275" s="144"/>
      <c r="J275" s="144"/>
      <c r="K275" s="145"/>
      <c r="L275" s="145"/>
      <c r="M275" s="145"/>
      <c r="N275" s="145"/>
      <c r="O275" s="145"/>
      <c r="P275" s="145"/>
    </row>
    <row r="276" spans="1:16" ht="12.75" hidden="1" x14ac:dyDescent="0.2">
      <c r="A276" s="165"/>
      <c r="B276" s="166"/>
      <c r="C276" s="166"/>
      <c r="D276" s="16"/>
      <c r="E276" s="16"/>
      <c r="F276" s="16"/>
      <c r="G276" s="17"/>
      <c r="H276" s="17"/>
      <c r="I276" s="18"/>
      <c r="J276" s="18"/>
      <c r="K276" s="19"/>
      <c r="L276" s="19"/>
      <c r="M276" s="19"/>
      <c r="N276" s="19"/>
      <c r="O276" s="19"/>
      <c r="P276" s="19"/>
    </row>
    <row r="277" spans="1:16" ht="18.75" hidden="1" x14ac:dyDescent="0.25">
      <c r="A277" s="280"/>
      <c r="B277" s="281"/>
      <c r="C277" s="281"/>
      <c r="D277" s="282" t="s">
        <v>110</v>
      </c>
      <c r="E277" s="283"/>
      <c r="F277" s="283"/>
      <c r="G277" s="284"/>
      <c r="H277" s="285" t="s">
        <v>33</v>
      </c>
      <c r="I277" s="205">
        <v>0</v>
      </c>
      <c r="J277" s="205">
        <v>0</v>
      </c>
      <c r="K277" s="286">
        <v>0</v>
      </c>
      <c r="L277" s="287"/>
      <c r="M277" s="287"/>
      <c r="N277" s="287"/>
      <c r="O277" s="287"/>
      <c r="P277" s="287"/>
    </row>
    <row r="278" spans="1:16" ht="19.5" x14ac:dyDescent="0.3">
      <c r="A278" s="288" t="s">
        <v>111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</row>
    <row r="279" spans="1:16" ht="19.5" x14ac:dyDescent="0.3">
      <c r="A279" s="294" t="s">
        <v>112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299"/>
      <c r="M279" s="299"/>
      <c r="N279" s="299"/>
      <c r="O279" s="299"/>
      <c r="P279" s="299"/>
    </row>
    <row r="280" spans="1:16" ht="19.5" x14ac:dyDescent="0.3">
      <c r="A280" s="300"/>
      <c r="B280" s="301" t="s">
        <v>113</v>
      </c>
      <c r="C280" s="302"/>
      <c r="D280" s="303"/>
      <c r="E280" s="302"/>
      <c r="F280" s="302"/>
      <c r="G280" s="304"/>
      <c r="H280" s="305" t="s">
        <v>33</v>
      </c>
      <c r="I280" s="306">
        <f ca="1">I293</f>
        <v>10</v>
      </c>
      <c r="J280" s="306">
        <f>J293</f>
        <v>0</v>
      </c>
      <c r="K280" s="307">
        <f ca="1">IF(I280&gt;0,J280*100/I280,0)</f>
        <v>0</v>
      </c>
      <c r="L280" s="308"/>
      <c r="M280" s="308"/>
      <c r="N280" s="308"/>
      <c r="O280" s="308"/>
      <c r="P280" s="308"/>
    </row>
    <row r="281" spans="1:16" ht="19.5" x14ac:dyDescent="0.3">
      <c r="A281" s="300"/>
      <c r="B281" s="302"/>
      <c r="C281" s="302"/>
      <c r="D281" s="303"/>
      <c r="E281" s="302"/>
      <c r="F281" s="302"/>
      <c r="G281" s="304"/>
      <c r="H281" s="305" t="s">
        <v>44</v>
      </c>
      <c r="I281" s="306">
        <f ca="1">I292</f>
        <v>100</v>
      </c>
      <c r="J281" s="306">
        <f>J292</f>
        <v>0</v>
      </c>
      <c r="K281" s="307">
        <f ca="1">IF(I281&gt;0,J281*100/I281,0)</f>
        <v>0</v>
      </c>
      <c r="L281" s="308"/>
      <c r="M281" s="308"/>
      <c r="N281" s="308"/>
      <c r="O281" s="308"/>
      <c r="P281" s="308"/>
    </row>
    <row r="282" spans="1:16" ht="19.5" x14ac:dyDescent="0.3">
      <c r="A282" s="136"/>
      <c r="B282" s="41"/>
      <c r="C282" s="197" t="s">
        <v>16</v>
      </c>
      <c r="D282" s="397" t="s">
        <v>17</v>
      </c>
      <c r="E282" s="41"/>
      <c r="F282" s="41"/>
      <c r="G282" s="43"/>
      <c r="H282" s="139" t="s">
        <v>12</v>
      </c>
      <c r="I282" s="45"/>
      <c r="J282" s="45"/>
      <c r="K282" s="46"/>
      <c r="L282" s="140">
        <f ca="1">L283+L284</f>
        <v>56120</v>
      </c>
      <c r="M282" s="140">
        <f ca="1">M283+M284</f>
        <v>44480</v>
      </c>
      <c r="N282" s="140">
        <f ca="1">N283+N284</f>
        <v>0</v>
      </c>
      <c r="O282" s="140">
        <f ca="1">IF(L282&gt;0,N282*100/L282,0)</f>
        <v>0</v>
      </c>
      <c r="P282" s="140">
        <f ca="1">IF(M282&gt;0,N282*100/M282,0)</f>
        <v>0</v>
      </c>
    </row>
    <row r="283" spans="1:16" ht="18.75" hidden="1" x14ac:dyDescent="0.25">
      <c r="A283" s="136"/>
      <c r="B283" s="41"/>
      <c r="C283" s="41"/>
      <c r="D283" s="41"/>
      <c r="E283" s="279" t="s">
        <v>18</v>
      </c>
      <c r="F283" s="41"/>
      <c r="G283" s="43"/>
      <c r="H283" s="141" t="s">
        <v>12</v>
      </c>
      <c r="I283" s="45"/>
      <c r="J283" s="45"/>
      <c r="K283" s="46"/>
      <c r="L283" s="50">
        <f>L286+L289</f>
        <v>0</v>
      </c>
      <c r="M283" s="50">
        <f>M286+M289</f>
        <v>0</v>
      </c>
      <c r="N283" s="50">
        <f>N286+N289</f>
        <v>0</v>
      </c>
      <c r="O283" s="50">
        <f>IF(L283&gt;0,N283*100/L283,0)</f>
        <v>0</v>
      </c>
      <c r="P283" s="50">
        <f>IF(M283&gt;0,N283*100/M283,0)</f>
        <v>0</v>
      </c>
    </row>
    <row r="284" spans="1:16" ht="18.75" x14ac:dyDescent="0.25">
      <c r="A284" s="136"/>
      <c r="B284" s="41"/>
      <c r="C284" s="41"/>
      <c r="D284" s="41"/>
      <c r="E284" s="254" t="s">
        <v>19</v>
      </c>
      <c r="F284" s="41"/>
      <c r="G284" s="43"/>
      <c r="H284" s="142" t="s">
        <v>12</v>
      </c>
      <c r="I284" s="45"/>
      <c r="J284" s="45"/>
      <c r="K284" s="46"/>
      <c r="L284" s="47">
        <f ca="1">L287+L290</f>
        <v>56120</v>
      </c>
      <c r="M284" s="47">
        <f ca="1">M287+M290</f>
        <v>44480</v>
      </c>
      <c r="N284" s="47">
        <f ca="1">N287+N290</f>
        <v>0</v>
      </c>
      <c r="O284" s="47">
        <f ca="1">IF(L284&gt;0,N284*100/L284,0)</f>
        <v>0</v>
      </c>
      <c r="P284" s="47">
        <f ca="1">IF(M284&gt;0,N284*100/M284,0)</f>
        <v>0</v>
      </c>
    </row>
    <row r="285" spans="1:16" ht="18.75" x14ac:dyDescent="0.25">
      <c r="A285" s="136"/>
      <c r="B285" s="41"/>
      <c r="C285" s="41"/>
      <c r="D285" s="42" t="s">
        <v>20</v>
      </c>
      <c r="E285" s="41"/>
      <c r="F285" s="41"/>
      <c r="G285" s="43"/>
      <c r="H285" s="143" t="s">
        <v>12</v>
      </c>
      <c r="I285" s="144"/>
      <c r="J285" s="144"/>
      <c r="K285" s="145"/>
      <c r="L285" s="47">
        <f ca="1">L286+L287</f>
        <v>56120</v>
      </c>
      <c r="M285" s="47">
        <f ca="1">M286+M287</f>
        <v>44480</v>
      </c>
      <c r="N285" s="47">
        <f ca="1">N286+N287</f>
        <v>0</v>
      </c>
      <c r="O285" s="47">
        <f ca="1">IF(L285&gt;0,N285*100/L285,0)</f>
        <v>0</v>
      </c>
      <c r="P285" s="47">
        <f ca="1">IF(M285&gt;0,N285*100/M285,0)</f>
        <v>0</v>
      </c>
    </row>
    <row r="286" spans="1:16" ht="18.75" hidden="1" x14ac:dyDescent="0.25">
      <c r="A286" s="136"/>
      <c r="B286" s="41"/>
      <c r="C286" s="41"/>
      <c r="D286" s="41"/>
      <c r="E286" s="279" t="s">
        <v>34</v>
      </c>
      <c r="F286" s="41"/>
      <c r="G286" s="43"/>
      <c r="H286" s="146" t="s">
        <v>12</v>
      </c>
      <c r="I286" s="144"/>
      <c r="J286" s="144"/>
      <c r="K286" s="145"/>
      <c r="L286" s="50">
        <v>0</v>
      </c>
      <c r="M286" s="50">
        <v>0</v>
      </c>
      <c r="N286" s="50">
        <v>0</v>
      </c>
      <c r="O286" s="50">
        <f>IF(L286&gt;0,N286*100/L286,0)</f>
        <v>0</v>
      </c>
      <c r="P286" s="50">
        <f>IF(M286&gt;0,N286*100/M286,0)</f>
        <v>0</v>
      </c>
    </row>
    <row r="287" spans="1:16" ht="18.75" x14ac:dyDescent="0.25">
      <c r="A287" s="136"/>
      <c r="B287" s="41"/>
      <c r="C287" s="41"/>
      <c r="D287" s="41"/>
      <c r="E287" s="254" t="s">
        <v>35</v>
      </c>
      <c r="F287" s="41"/>
      <c r="G287" s="43"/>
      <c r="H287" s="143" t="s">
        <v>12</v>
      </c>
      <c r="I287" s="144"/>
      <c r="J287" s="144"/>
      <c r="K287" s="145"/>
      <c r="L287" s="47">
        <f ca="1">IFERROR(__xludf.DUMMYFUNCTION("IMPORTRANGE(""https://docs.google.com/spreadsheets/d/1-uDff_7J0KD5mKrp0Vvzr7lt3OU09vwQwhkpOPPYv2Y/edit?usp=sharing"",""งบพรบ!DO20"")"),56120)</f>
        <v>56120</v>
      </c>
      <c r="M287" s="47">
        <f ca="1">IFERROR(__xludf.DUMMYFUNCTION("IMPORTRANGE(""https://docs.google.com/spreadsheets/d/1-uDff_7J0KD5mKrp0Vvzr7lt3OU09vwQwhkpOPPYv2Y/edit?usp=sharing"",""งบพรบ!DT20"")"),44480)</f>
        <v>44480</v>
      </c>
      <c r="N287" s="47">
        <f ca="1">IFERROR(__xludf.DUMMYFUNCTION("IMPORTRANGE(""https://docs.google.com/spreadsheets/d/1-uDff_7J0KD5mKrp0Vvzr7lt3OU09vwQwhkpOPPYv2Y/edit?usp=sharing"",""งบพรบ!DV20"")"),0)</f>
        <v>0</v>
      </c>
      <c r="O287" s="47">
        <f ca="1">IF(L287&gt;0,N287*100/L287,0)</f>
        <v>0</v>
      </c>
      <c r="P287" s="47">
        <f ca="1">IF(M287&gt;0,N287*100/M287,0)</f>
        <v>0</v>
      </c>
    </row>
    <row r="288" spans="1:16" ht="18.75" x14ac:dyDescent="0.25">
      <c r="A288" s="136"/>
      <c r="B288" s="41"/>
      <c r="C288" s="41"/>
      <c r="D288" s="42" t="s">
        <v>21</v>
      </c>
      <c r="E288" s="41"/>
      <c r="F288" s="41"/>
      <c r="G288" s="43"/>
      <c r="H288" s="147" t="s">
        <v>12</v>
      </c>
      <c r="I288" s="144"/>
      <c r="J288" s="144"/>
      <c r="K288" s="145"/>
      <c r="L288" s="47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</row>
    <row r="289" spans="1:16" ht="18.75" hidden="1" x14ac:dyDescent="0.25">
      <c r="A289" s="136"/>
      <c r="B289" s="41"/>
      <c r="C289" s="41"/>
      <c r="D289" s="41"/>
      <c r="E289" s="279" t="s">
        <v>18</v>
      </c>
      <c r="F289" s="41"/>
      <c r="G289" s="43"/>
      <c r="H289" s="146" t="s">
        <v>12</v>
      </c>
      <c r="I289" s="144"/>
      <c r="J289" s="144"/>
      <c r="K289" s="145"/>
      <c r="L289" s="50">
        <v>0</v>
      </c>
      <c r="M289" s="50">
        <v>0</v>
      </c>
      <c r="N289" s="50">
        <v>0</v>
      </c>
      <c r="O289" s="50">
        <f>IF(L289&gt;0,N289*100/L289,0)</f>
        <v>0</v>
      </c>
      <c r="P289" s="50">
        <f>IF(M289&gt;0,N289*100/M289,0)</f>
        <v>0</v>
      </c>
    </row>
    <row r="290" spans="1:16" ht="18.75" x14ac:dyDescent="0.25">
      <c r="A290" s="136"/>
      <c r="B290" s="41"/>
      <c r="C290" s="41"/>
      <c r="D290" s="41"/>
      <c r="E290" s="254" t="s">
        <v>19</v>
      </c>
      <c r="F290" s="41"/>
      <c r="G290" s="43"/>
      <c r="H290" s="147" t="s">
        <v>12</v>
      </c>
      <c r="I290" s="144"/>
      <c r="J290" s="144"/>
      <c r="K290" s="145"/>
      <c r="L290" s="47">
        <f ca="1">IFERROR(__xludf.DUMMYFUNCTION("IMPORTRANGE(""https://docs.google.com/spreadsheets/d/1-uDff_7J0KD5mKrp0Vvzr7lt3OU09vwQwhkpOPPYv2Y/edit?usp=sharing"",""งบพรบ!DR20"")"),0)</f>
        <v>0</v>
      </c>
      <c r="M290" s="47">
        <f ca="1">IFERROR(__xludf.DUMMYFUNCTION("IMPORTRANGE(""https://docs.google.com/spreadsheets/d/1-uDff_7J0KD5mKrp0Vvzr7lt3OU09vwQwhkpOPPYv2Y/edit?usp=sharing"",""งบพรบ!DU20"")"),0)</f>
        <v>0</v>
      </c>
      <c r="N290" s="47">
        <f ca="1">IFERROR(__xludf.DUMMYFUNCTION("IMPORTRANGE(""https://docs.google.com/spreadsheets/d/1-uDff_7J0KD5mKrp0Vvzr7lt3OU09vwQwhkpOPPYv2Y/edit?usp=sharing"",""งบพรบ!DW20"")"),0)</f>
        <v>0</v>
      </c>
      <c r="O290" s="47">
        <f ca="1">IF(L290&gt;0,N290*100/L290,0)</f>
        <v>0</v>
      </c>
      <c r="P290" s="47">
        <f ca="1">IF(M290&gt;0,N290*100/M290,0)</f>
        <v>0</v>
      </c>
    </row>
    <row r="291" spans="1:16" ht="19.5" x14ac:dyDescent="0.3">
      <c r="A291" s="148"/>
      <c r="B291" s="149"/>
      <c r="C291" s="197" t="s">
        <v>16</v>
      </c>
      <c r="D291" s="395" t="s">
        <v>36</v>
      </c>
      <c r="E291" s="151"/>
      <c r="F291" s="151"/>
      <c r="G291" s="152"/>
      <c r="H291" s="153"/>
      <c r="I291" s="144"/>
      <c r="J291" s="144"/>
      <c r="K291" s="145"/>
      <c r="L291" s="145"/>
      <c r="M291" s="145"/>
      <c r="N291" s="145"/>
      <c r="O291" s="145"/>
      <c r="P291" s="145"/>
    </row>
    <row r="292" spans="1:16" ht="18.75" x14ac:dyDescent="0.25">
      <c r="A292" s="148"/>
      <c r="B292" s="149"/>
      <c r="C292" s="149"/>
      <c r="D292" s="159" t="s">
        <v>114</v>
      </c>
      <c r="E292" s="149"/>
      <c r="F292" s="155"/>
      <c r="G292" s="153"/>
      <c r="H292" s="164" t="s">
        <v>44</v>
      </c>
      <c r="I292" s="169">
        <f ca="1">IFERROR(__xludf.DUMMYFUNCTION("IMPORTRANGE(""https://docs.google.com/spreadsheets/d/1eHaY18a8A9IcSdp1K8H6x8fbOy06t2VsZHhMHf-1x7Y/edit?usp=sharing"",""แผน!EE20"")"),100)</f>
        <v>100</v>
      </c>
      <c r="J292" s="250">
        <v>0</v>
      </c>
      <c r="K292" s="163">
        <f ca="1">IF(I292&gt;0,J292*100/I292,0)</f>
        <v>0</v>
      </c>
      <c r="L292" s="145"/>
      <c r="M292" s="145"/>
      <c r="N292" s="145"/>
      <c r="O292" s="145"/>
      <c r="P292" s="145"/>
    </row>
    <row r="293" spans="1:16" ht="19.5" x14ac:dyDescent="0.3">
      <c r="A293" s="148"/>
      <c r="B293" s="149"/>
      <c r="C293" s="149"/>
      <c r="D293" s="159" t="s">
        <v>115</v>
      </c>
      <c r="E293" s="149"/>
      <c r="F293" s="155"/>
      <c r="G293" s="153"/>
      <c r="H293" s="156" t="s">
        <v>33</v>
      </c>
      <c r="I293" s="157">
        <f ca="1">IFERROR(__xludf.DUMMYFUNCTION("IMPORTRANGE(""https://docs.google.com/spreadsheets/d/1eHaY18a8A9IcSdp1K8H6x8fbOy06t2VsZHhMHf-1x7Y/edit?usp=sharing"",""แผน!ED20"")"),10)</f>
        <v>10</v>
      </c>
      <c r="J293" s="157">
        <f>J296</f>
        <v>0</v>
      </c>
      <c r="K293" s="158">
        <f ca="1">IF(I293&gt;0,J293*100/I293,0)</f>
        <v>0</v>
      </c>
      <c r="L293" s="145"/>
      <c r="M293" s="145"/>
      <c r="N293" s="145"/>
      <c r="O293" s="145"/>
      <c r="P293" s="145"/>
    </row>
    <row r="294" spans="1:16" ht="19.5" x14ac:dyDescent="0.3">
      <c r="A294" s="148"/>
      <c r="B294" s="149"/>
      <c r="C294" s="149"/>
      <c r="D294" s="155"/>
      <c r="E294" s="167" t="s">
        <v>116</v>
      </c>
      <c r="F294" s="155"/>
      <c r="G294" s="153"/>
      <c r="H294" s="153"/>
      <c r="I294" s="144"/>
      <c r="J294" s="45"/>
      <c r="K294" s="145"/>
      <c r="L294" s="145"/>
      <c r="M294" s="145"/>
      <c r="N294" s="145"/>
      <c r="O294" s="145"/>
      <c r="P294" s="145"/>
    </row>
    <row r="295" spans="1:16" ht="19.5" x14ac:dyDescent="0.3">
      <c r="A295" s="148"/>
      <c r="B295" s="149"/>
      <c r="C295" s="149"/>
      <c r="D295" s="155"/>
      <c r="E295" s="159" t="s">
        <v>117</v>
      </c>
      <c r="F295" s="155"/>
      <c r="G295" s="153"/>
      <c r="H295" s="251" t="s">
        <v>33</v>
      </c>
      <c r="I295" s="161">
        <f ca="1">IFERROR(__xludf.DUMMYFUNCTION("IMPORTRANGE(""https://docs.google.com/spreadsheets/d/1eHaY18a8A9IcSdp1K8H6x8fbOy06t2VsZHhMHf-1x7Y/edit?usp=sharing"",""แผน!ED20"")"),10)</f>
        <v>10</v>
      </c>
      <c r="J295" s="250">
        <v>0</v>
      </c>
      <c r="K295" s="163">
        <f ca="1">IF(I295&gt;0,J295*100/I295,0)</f>
        <v>0</v>
      </c>
      <c r="L295" s="145"/>
      <c r="M295" s="145"/>
      <c r="N295" s="145"/>
      <c r="O295" s="145"/>
      <c r="P295" s="145"/>
    </row>
    <row r="296" spans="1:16" ht="19.5" x14ac:dyDescent="0.3">
      <c r="A296" s="148"/>
      <c r="B296" s="149"/>
      <c r="C296" s="149"/>
      <c r="D296" s="155"/>
      <c r="E296" s="159" t="s">
        <v>118</v>
      </c>
      <c r="F296" s="155"/>
      <c r="G296" s="153"/>
      <c r="H296" s="251" t="s">
        <v>33</v>
      </c>
      <c r="I296" s="161">
        <f ca="1">IFERROR(__xludf.DUMMYFUNCTION("IMPORTRANGE(""https://docs.google.com/spreadsheets/d/1eHaY18a8A9IcSdp1K8H6x8fbOy06t2VsZHhMHf-1x7Y/edit?usp=sharing"",""แผน!ED20"")"),10)</f>
        <v>10</v>
      </c>
      <c r="J296" s="250">
        <v>0</v>
      </c>
      <c r="K296" s="163">
        <f ca="1">IF(I296&gt;0,J296*100/I296,0)</f>
        <v>0</v>
      </c>
      <c r="L296" s="145"/>
      <c r="M296" s="145"/>
      <c r="N296" s="145"/>
      <c r="O296" s="145"/>
      <c r="P296" s="145"/>
    </row>
    <row r="297" spans="1:16" ht="12.75" hidden="1" x14ac:dyDescent="0.2">
      <c r="A297" s="165"/>
      <c r="B297" s="166"/>
      <c r="C297" s="166"/>
      <c r="D297" s="16"/>
      <c r="E297" s="16"/>
      <c r="F297" s="16"/>
      <c r="G297" s="17"/>
      <c r="H297" s="17"/>
      <c r="I297" s="18"/>
      <c r="J297" s="18"/>
      <c r="K297" s="19"/>
      <c r="L297" s="19"/>
      <c r="M297" s="19"/>
      <c r="N297" s="19"/>
      <c r="O297" s="19"/>
      <c r="P297" s="19"/>
    </row>
    <row r="298" spans="1:16" ht="12.75" hidden="1" x14ac:dyDescent="0.2">
      <c r="A298" s="165"/>
      <c r="B298" s="166"/>
      <c r="C298" s="166"/>
      <c r="D298" s="16"/>
      <c r="E298" s="16"/>
      <c r="F298" s="16"/>
      <c r="G298" s="17"/>
      <c r="H298" s="17"/>
      <c r="I298" s="18"/>
      <c r="J298" s="18"/>
      <c r="K298" s="19"/>
      <c r="L298" s="19"/>
      <c r="M298" s="19"/>
      <c r="N298" s="19"/>
      <c r="O298" s="19"/>
      <c r="P298" s="19"/>
    </row>
    <row r="299" spans="1:16" ht="12.75" hidden="1" x14ac:dyDescent="0.2">
      <c r="A299" s="309"/>
      <c r="B299" s="310"/>
      <c r="C299" s="310"/>
      <c r="D299" s="21"/>
      <c r="E299" s="21"/>
      <c r="F299" s="21"/>
      <c r="G299" s="12"/>
      <c r="H299" s="12"/>
      <c r="I299" s="13"/>
      <c r="J299" s="13"/>
      <c r="K299" s="14"/>
      <c r="L299" s="14"/>
      <c r="M299" s="14"/>
      <c r="N299" s="14"/>
      <c r="O299" s="14"/>
      <c r="P299" s="14"/>
    </row>
    <row r="300" spans="1:16" ht="19.5" x14ac:dyDescent="0.3">
      <c r="A300" s="311" t="s">
        <v>119</v>
      </c>
      <c r="B300" s="312"/>
      <c r="C300" s="312"/>
      <c r="D300" s="312"/>
      <c r="E300" s="313"/>
      <c r="F300" s="313"/>
      <c r="G300" s="313"/>
      <c r="H300" s="313"/>
      <c r="I300" s="314"/>
      <c r="J300" s="314"/>
      <c r="K300" s="315"/>
      <c r="L300" s="315"/>
      <c r="M300" s="315"/>
      <c r="N300" s="315"/>
      <c r="O300" s="315"/>
      <c r="P300" s="316"/>
    </row>
    <row r="301" spans="1:16" ht="19.5" x14ac:dyDescent="0.3">
      <c r="A301" s="317" t="s">
        <v>120</v>
      </c>
      <c r="B301" s="318"/>
      <c r="C301" s="318"/>
      <c r="D301" s="319"/>
      <c r="E301" s="319"/>
      <c r="F301" s="319"/>
      <c r="G301" s="320"/>
      <c r="H301" s="320"/>
      <c r="I301" s="321"/>
      <c r="J301" s="321"/>
      <c r="K301" s="322"/>
      <c r="L301" s="322"/>
      <c r="M301" s="322"/>
      <c r="N301" s="322"/>
      <c r="O301" s="322"/>
      <c r="P301" s="322"/>
    </row>
    <row r="302" spans="1:16" ht="19.5" x14ac:dyDescent="0.3">
      <c r="A302" s="323"/>
      <c r="B302" s="324" t="s">
        <v>121</v>
      </c>
      <c r="C302" s="325"/>
      <c r="D302" s="325"/>
      <c r="E302" s="325"/>
      <c r="F302" s="325"/>
      <c r="G302" s="326"/>
      <c r="H302" s="327" t="s">
        <v>33</v>
      </c>
      <c r="I302" s="328">
        <f ca="1">I314</f>
        <v>20</v>
      </c>
      <c r="J302" s="328">
        <f>J314</f>
        <v>0</v>
      </c>
      <c r="K302" s="329">
        <f ca="1">IF(I302&gt;0,J302*100/I302,0)</f>
        <v>0</v>
      </c>
      <c r="L302" s="330"/>
      <c r="M302" s="330"/>
      <c r="N302" s="330"/>
      <c r="O302" s="330"/>
      <c r="P302" s="330"/>
    </row>
    <row r="303" spans="1:16" ht="19.5" x14ac:dyDescent="0.3">
      <c r="A303" s="136"/>
      <c r="B303" s="41"/>
      <c r="C303" s="197" t="s">
        <v>16</v>
      </c>
      <c r="D303" s="397" t="s">
        <v>17</v>
      </c>
      <c r="E303" s="41"/>
      <c r="F303" s="41"/>
      <c r="G303" s="43"/>
      <c r="H303" s="139" t="s">
        <v>12</v>
      </c>
      <c r="I303" s="45"/>
      <c r="J303" s="45"/>
      <c r="K303" s="46"/>
      <c r="L303" s="140">
        <f ca="1">L304+L305</f>
        <v>133500</v>
      </c>
      <c r="M303" s="140">
        <f ca="1">M304+M305</f>
        <v>100900</v>
      </c>
      <c r="N303" s="140">
        <f ca="1">N304+N305</f>
        <v>7300</v>
      </c>
      <c r="O303" s="140">
        <f ca="1">IF(L303&gt;0,N303*100/L303,0)</f>
        <v>5.4681647940074907</v>
      </c>
      <c r="P303" s="140">
        <f ca="1">IF(M303&gt;0,N303*100/M303,0)</f>
        <v>7.2348860257680876</v>
      </c>
    </row>
    <row r="304" spans="1:16" ht="18.75" hidden="1" x14ac:dyDescent="0.25">
      <c r="A304" s="136"/>
      <c r="B304" s="41"/>
      <c r="C304" s="41"/>
      <c r="D304" s="41"/>
      <c r="E304" s="279" t="s">
        <v>18</v>
      </c>
      <c r="F304" s="41"/>
      <c r="G304" s="43"/>
      <c r="H304" s="141" t="s">
        <v>12</v>
      </c>
      <c r="I304" s="45"/>
      <c r="J304" s="45"/>
      <c r="K304" s="46"/>
      <c r="L304" s="50">
        <f>L307+L310</f>
        <v>0</v>
      </c>
      <c r="M304" s="50">
        <f>M307+M310</f>
        <v>0</v>
      </c>
      <c r="N304" s="50">
        <f>N307+N310</f>
        <v>0</v>
      </c>
      <c r="O304" s="50">
        <f>IF(L304&gt;0,N304*100/L304,0)</f>
        <v>0</v>
      </c>
      <c r="P304" s="50">
        <f>IF(M304&gt;0,N304*100/M304,0)</f>
        <v>0</v>
      </c>
    </row>
    <row r="305" spans="1:16" ht="18.75" x14ac:dyDescent="0.25">
      <c r="A305" s="136"/>
      <c r="B305" s="41"/>
      <c r="C305" s="41"/>
      <c r="D305" s="41"/>
      <c r="E305" s="254" t="s">
        <v>19</v>
      </c>
      <c r="F305" s="41"/>
      <c r="G305" s="43"/>
      <c r="H305" s="142" t="s">
        <v>12</v>
      </c>
      <c r="I305" s="45"/>
      <c r="J305" s="45"/>
      <c r="K305" s="46"/>
      <c r="L305" s="47">
        <f ca="1">L308+L311</f>
        <v>133500</v>
      </c>
      <c r="M305" s="47">
        <f ca="1">M308+M311</f>
        <v>100900</v>
      </c>
      <c r="N305" s="47">
        <f ca="1">N308+N311</f>
        <v>7300</v>
      </c>
      <c r="O305" s="47">
        <f ca="1">IF(L305&gt;0,N305*100/L305,0)</f>
        <v>5.4681647940074907</v>
      </c>
      <c r="P305" s="47">
        <f ca="1">IF(M305&gt;0,N305*100/M305,0)</f>
        <v>7.2348860257680876</v>
      </c>
    </row>
    <row r="306" spans="1:16" ht="18.75" x14ac:dyDescent="0.25">
      <c r="A306" s="136"/>
      <c r="B306" s="41"/>
      <c r="C306" s="41"/>
      <c r="D306" s="42" t="s">
        <v>20</v>
      </c>
      <c r="E306" s="41"/>
      <c r="F306" s="41"/>
      <c r="G306" s="43"/>
      <c r="H306" s="143" t="s">
        <v>12</v>
      </c>
      <c r="I306" s="144"/>
      <c r="J306" s="144"/>
      <c r="K306" s="145"/>
      <c r="L306" s="47">
        <f ca="1">L307+L308</f>
        <v>133500</v>
      </c>
      <c r="M306" s="47">
        <f ca="1">M307+M308</f>
        <v>100900</v>
      </c>
      <c r="N306" s="47">
        <f ca="1">N307+N308</f>
        <v>7300</v>
      </c>
      <c r="O306" s="47">
        <f ca="1">IF(L306&gt;0,N306*100/L306,0)</f>
        <v>5.4681647940074907</v>
      </c>
      <c r="P306" s="47">
        <f ca="1">IF(M306&gt;0,N306*100/M306,0)</f>
        <v>7.2348860257680876</v>
      </c>
    </row>
    <row r="307" spans="1:16" ht="18.75" hidden="1" x14ac:dyDescent="0.25">
      <c r="A307" s="136"/>
      <c r="B307" s="41"/>
      <c r="C307" s="41"/>
      <c r="D307" s="41"/>
      <c r="E307" s="279" t="s">
        <v>34</v>
      </c>
      <c r="F307" s="41"/>
      <c r="G307" s="43"/>
      <c r="H307" s="146" t="s">
        <v>12</v>
      </c>
      <c r="I307" s="144"/>
      <c r="J307" s="144"/>
      <c r="K307" s="145"/>
      <c r="L307" s="50">
        <v>0</v>
      </c>
      <c r="M307" s="50">
        <v>0</v>
      </c>
      <c r="N307" s="50">
        <v>0</v>
      </c>
      <c r="O307" s="50">
        <f>IF(L307&gt;0,N307*100/L307,0)</f>
        <v>0</v>
      </c>
      <c r="P307" s="50">
        <f>IF(M307&gt;0,N307*100/M307,0)</f>
        <v>0</v>
      </c>
    </row>
    <row r="308" spans="1:16" ht="18.75" x14ac:dyDescent="0.25">
      <c r="A308" s="136"/>
      <c r="B308" s="41"/>
      <c r="C308" s="41"/>
      <c r="D308" s="41"/>
      <c r="E308" s="254" t="s">
        <v>35</v>
      </c>
      <c r="F308" s="41"/>
      <c r="G308" s="43"/>
      <c r="H308" s="143" t="s">
        <v>12</v>
      </c>
      <c r="I308" s="144"/>
      <c r="J308" s="144"/>
      <c r="K308" s="145"/>
      <c r="L308" s="47">
        <f ca="1">IFERROR(__xludf.DUMMYFUNCTION("IMPORTRANGE(""https://docs.google.com/spreadsheets/d/1-uDff_7J0KD5mKrp0Vvzr7lt3OU09vwQwhkpOPPYv2Y/edit?usp=sharing"",""งบพรบ!DY20"")"),133500)</f>
        <v>133500</v>
      </c>
      <c r="M308" s="47">
        <f ca="1">IFERROR(__xludf.DUMMYFUNCTION("IMPORTRANGE(""https://docs.google.com/spreadsheets/d/1-uDff_7J0KD5mKrp0Vvzr7lt3OU09vwQwhkpOPPYv2Y/edit?usp=sharing"",""งบพรบ!ED20"")"),100900)</f>
        <v>100900</v>
      </c>
      <c r="N308" s="47">
        <f ca="1">IFERROR(__xludf.DUMMYFUNCTION("IMPORTRANGE(""https://docs.google.com/spreadsheets/d/1-uDff_7J0KD5mKrp0Vvzr7lt3OU09vwQwhkpOPPYv2Y/edit?usp=sharing"",""งบพรบ!EF20"")"),7300)</f>
        <v>7300</v>
      </c>
      <c r="O308" s="47">
        <f ca="1">IF(L308&gt;0,N308*100/L308,0)</f>
        <v>5.4681647940074907</v>
      </c>
      <c r="P308" s="47">
        <f ca="1">IF(M308&gt;0,N308*100/M308,0)</f>
        <v>7.2348860257680876</v>
      </c>
    </row>
    <row r="309" spans="1:16" ht="18.75" x14ac:dyDescent="0.25">
      <c r="A309" s="136"/>
      <c r="B309" s="41"/>
      <c r="C309" s="41"/>
      <c r="D309" s="42" t="s">
        <v>21</v>
      </c>
      <c r="E309" s="41"/>
      <c r="F309" s="41"/>
      <c r="G309" s="43"/>
      <c r="H309" s="147" t="s">
        <v>12</v>
      </c>
      <c r="I309" s="144"/>
      <c r="J309" s="144"/>
      <c r="K309" s="145"/>
      <c r="L309" s="47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</row>
    <row r="310" spans="1:16" ht="18.75" hidden="1" x14ac:dyDescent="0.25">
      <c r="A310" s="136"/>
      <c r="B310" s="41"/>
      <c r="C310" s="41"/>
      <c r="D310" s="41"/>
      <c r="E310" s="279" t="s">
        <v>18</v>
      </c>
      <c r="F310" s="41"/>
      <c r="G310" s="43"/>
      <c r="H310" s="146" t="s">
        <v>12</v>
      </c>
      <c r="I310" s="144"/>
      <c r="J310" s="144"/>
      <c r="K310" s="145"/>
      <c r="L310" s="50">
        <v>0</v>
      </c>
      <c r="M310" s="50">
        <v>0</v>
      </c>
      <c r="N310" s="50">
        <v>0</v>
      </c>
      <c r="O310" s="50">
        <f>IF(L310&gt;0,N310*100/L310,0)</f>
        <v>0</v>
      </c>
      <c r="P310" s="50">
        <f>IF(M310&gt;0,N310*100/M310,0)</f>
        <v>0</v>
      </c>
    </row>
    <row r="311" spans="1:16" ht="18.75" x14ac:dyDescent="0.25">
      <c r="A311" s="136"/>
      <c r="B311" s="41"/>
      <c r="C311" s="41"/>
      <c r="D311" s="41"/>
      <c r="E311" s="254" t="s">
        <v>19</v>
      </c>
      <c r="F311" s="41"/>
      <c r="G311" s="43"/>
      <c r="H311" s="147" t="s">
        <v>12</v>
      </c>
      <c r="I311" s="144"/>
      <c r="J311" s="144"/>
      <c r="K311" s="145"/>
      <c r="L311" s="47">
        <f ca="1">IFERROR(__xludf.DUMMYFUNCTION("IMPORTRANGE(""https://docs.google.com/spreadsheets/d/1-uDff_7J0KD5mKrp0Vvzr7lt3OU09vwQwhkpOPPYv2Y/edit?usp=sharing"",""งบพรบ!EB20"")"),0)</f>
        <v>0</v>
      </c>
      <c r="M311" s="47">
        <f ca="1">IFERROR(__xludf.DUMMYFUNCTION("IMPORTRANGE(""https://docs.google.com/spreadsheets/d/1-uDff_7J0KD5mKrp0Vvzr7lt3OU09vwQwhkpOPPYv2Y/edit?usp=sharing"",""งบพรบ!EE20"")"),0)</f>
        <v>0</v>
      </c>
      <c r="N311" s="47">
        <f ca="1">IFERROR(__xludf.DUMMYFUNCTION("IMPORTRANGE(""https://docs.google.com/spreadsheets/d/1-uDff_7J0KD5mKrp0Vvzr7lt3OU09vwQwhkpOPPYv2Y/edit?usp=sharing"",""งบพรบ!EG20"")"),0)</f>
        <v>0</v>
      </c>
      <c r="O311" s="47">
        <f ca="1">IF(L311&gt;0,N311*100/L311,0)</f>
        <v>0</v>
      </c>
      <c r="P311" s="47">
        <f ca="1">IF(M311&gt;0,N311*100/M311,0)</f>
        <v>0</v>
      </c>
    </row>
    <row r="312" spans="1:16" ht="19.5" x14ac:dyDescent="0.3">
      <c r="A312" s="148"/>
      <c r="B312" s="149"/>
      <c r="C312" s="197" t="s">
        <v>16</v>
      </c>
      <c r="D312" s="395" t="s">
        <v>36</v>
      </c>
      <c r="E312" s="151"/>
      <c r="F312" s="151"/>
      <c r="G312" s="152"/>
      <c r="H312" s="153"/>
      <c r="I312" s="45"/>
      <c r="J312" s="45"/>
      <c r="K312" s="46"/>
      <c r="L312" s="46"/>
      <c r="M312" s="46"/>
      <c r="N312" s="46"/>
      <c r="O312" s="46"/>
      <c r="P312" s="46"/>
    </row>
    <row r="313" spans="1:16" ht="18.75" x14ac:dyDescent="0.25">
      <c r="A313" s="148"/>
      <c r="B313" s="149"/>
      <c r="C313" s="149"/>
      <c r="D313" s="159" t="s">
        <v>122</v>
      </c>
      <c r="E313" s="155"/>
      <c r="F313" s="155"/>
      <c r="G313" s="153"/>
      <c r="H313" s="153"/>
      <c r="I313" s="45"/>
      <c r="J313" s="250">
        <v>0</v>
      </c>
      <c r="K313" s="46"/>
      <c r="L313" s="46"/>
      <c r="M313" s="46"/>
      <c r="N313" s="46"/>
      <c r="O313" s="46"/>
      <c r="P313" s="46"/>
    </row>
    <row r="314" spans="1:16" ht="18.75" x14ac:dyDescent="0.25">
      <c r="A314" s="148"/>
      <c r="B314" s="149"/>
      <c r="C314" s="149"/>
      <c r="D314" s="159" t="s">
        <v>115</v>
      </c>
      <c r="E314" s="155"/>
      <c r="F314" s="155"/>
      <c r="G314" s="153"/>
      <c r="H314" s="251" t="s">
        <v>33</v>
      </c>
      <c r="I314" s="169">
        <f ca="1">IFERROR(__xludf.DUMMYFUNCTION("IMPORTRANGE(""https://docs.google.com/spreadsheets/d/1eHaY18a8A9IcSdp1K8H6x8fbOy06t2VsZHhMHf-1x7Y/edit?usp=sharing"",""แผน!EF20"")"),20)</f>
        <v>20</v>
      </c>
      <c r="J314" s="250">
        <v>0</v>
      </c>
      <c r="K314" s="47">
        <f ca="1">IF(I314&gt;0,J314*100/I314,0)</f>
        <v>0</v>
      </c>
      <c r="L314" s="46"/>
      <c r="M314" s="46"/>
      <c r="N314" s="46"/>
      <c r="O314" s="46"/>
      <c r="P314" s="46"/>
    </row>
    <row r="315" spans="1:16" ht="18.75" x14ac:dyDescent="0.25">
      <c r="A315" s="148"/>
      <c r="B315" s="149"/>
      <c r="C315" s="149"/>
      <c r="D315" s="159" t="s">
        <v>123</v>
      </c>
      <c r="E315" s="155"/>
      <c r="F315" s="155"/>
      <c r="G315" s="153"/>
      <c r="H315" s="251" t="s">
        <v>33</v>
      </c>
      <c r="I315" s="169">
        <f ca="1">IFERROR(__xludf.DUMMYFUNCTION("IMPORTRANGE(""https://docs.google.com/spreadsheets/d/1eHaY18a8A9IcSdp1K8H6x8fbOy06t2VsZHhMHf-1x7Y/edit?usp=sharing"",""แผน!EG20"")"),4)</f>
        <v>4</v>
      </c>
      <c r="J315" s="250">
        <v>0</v>
      </c>
      <c r="K315" s="47">
        <f ca="1">IF(I315&gt;0,J315*100/I315,0)</f>
        <v>0</v>
      </c>
      <c r="L315" s="46"/>
      <c r="M315" s="46"/>
      <c r="N315" s="46"/>
      <c r="O315" s="46"/>
      <c r="P315" s="46"/>
    </row>
    <row r="316" spans="1:16" ht="18.75" x14ac:dyDescent="0.25">
      <c r="A316" s="148"/>
      <c r="B316" s="149"/>
      <c r="C316" s="149"/>
      <c r="D316" s="159" t="s">
        <v>48</v>
      </c>
      <c r="E316" s="155"/>
      <c r="F316" s="155"/>
      <c r="G316" s="153"/>
      <c r="H316" s="251" t="s">
        <v>33</v>
      </c>
      <c r="I316" s="169">
        <f ca="1">IFERROR(__xludf.DUMMYFUNCTION("IMPORTRANGE(""https://docs.google.com/spreadsheets/d/1eHaY18a8A9IcSdp1K8H6x8fbOy06t2VsZHhMHf-1x7Y/edit?usp=sharing"",""แผน!EH20"")"),20)</f>
        <v>20</v>
      </c>
      <c r="J316" s="250">
        <v>0</v>
      </c>
      <c r="K316" s="47">
        <f ca="1">IF(I316&gt;0,J316*100/I316,0)</f>
        <v>0</v>
      </c>
      <c r="L316" s="46"/>
      <c r="M316" s="46"/>
      <c r="N316" s="46"/>
      <c r="O316" s="46"/>
      <c r="P316" s="46"/>
    </row>
    <row r="317" spans="1:16" ht="18.75" hidden="1" x14ac:dyDescent="0.25">
      <c r="A317" s="227"/>
      <c r="B317" s="228"/>
      <c r="C317" s="228"/>
      <c r="D317" s="279" t="s">
        <v>124</v>
      </c>
      <c r="E317" s="41"/>
      <c r="F317" s="41"/>
      <c r="G317" s="43"/>
      <c r="H317" s="49" t="s">
        <v>33</v>
      </c>
      <c r="I317" s="200">
        <f ca="1">IFERROR(__xludf.DUMMYFUNCTION("IMPORTRANGE(""https://docs.google.com/spreadsheets/d/1eHaY18a8A9IcSdp1K8H6x8fbOy06t2VsZHhMHf-1x7Y/edit?usp=sharing"",""แผน!EI20"")"),4)</f>
        <v>4</v>
      </c>
      <c r="J317" s="200">
        <v>0</v>
      </c>
      <c r="K317" s="50">
        <f ca="1">IF(I317&gt;0,J317*100/I317,0)</f>
        <v>0</v>
      </c>
      <c r="L317" s="46"/>
      <c r="M317" s="46"/>
      <c r="N317" s="46"/>
      <c r="O317" s="46"/>
      <c r="P317" s="46"/>
    </row>
    <row r="318" spans="1:16" ht="19.5" hidden="1" x14ac:dyDescent="0.3">
      <c r="A318" s="317" t="s">
        <v>125</v>
      </c>
      <c r="B318" s="318"/>
      <c r="C318" s="318"/>
      <c r="D318" s="319"/>
      <c r="E318" s="318"/>
      <c r="F318" s="318"/>
      <c r="G318" s="318"/>
      <c r="H318" s="319"/>
      <c r="I318" s="321"/>
      <c r="J318" s="321"/>
      <c r="K318" s="322"/>
      <c r="L318" s="322"/>
      <c r="M318" s="322"/>
      <c r="N318" s="322"/>
      <c r="O318" s="322"/>
      <c r="P318" s="322"/>
    </row>
    <row r="319" spans="1:16" ht="19.5" hidden="1" x14ac:dyDescent="0.3">
      <c r="A319" s="331"/>
      <c r="B319" s="324" t="s">
        <v>126</v>
      </c>
      <c r="C319" s="332"/>
      <c r="D319" s="333"/>
      <c r="E319" s="325"/>
      <c r="F319" s="325"/>
      <c r="G319" s="326"/>
      <c r="H319" s="327" t="s">
        <v>127</v>
      </c>
      <c r="I319" s="328">
        <f ca="1">I330</f>
        <v>0</v>
      </c>
      <c r="J319" s="328">
        <f>J330</f>
        <v>0</v>
      </c>
      <c r="K319" s="329">
        <f ca="1">IF(I319&gt;0,J319*100/I319,0)</f>
        <v>0</v>
      </c>
      <c r="L319" s="330"/>
      <c r="M319" s="330"/>
      <c r="N319" s="330"/>
      <c r="O319" s="330"/>
      <c r="P319" s="330"/>
    </row>
    <row r="320" spans="1:16" ht="19.5" hidden="1" x14ac:dyDescent="0.3">
      <c r="A320" s="136"/>
      <c r="B320" s="41"/>
      <c r="C320" s="197" t="s">
        <v>16</v>
      </c>
      <c r="D320" s="397" t="s">
        <v>17</v>
      </c>
      <c r="E320" s="41"/>
      <c r="F320" s="41"/>
      <c r="G320" s="43"/>
      <c r="H320" s="139" t="s">
        <v>12</v>
      </c>
      <c r="I320" s="45"/>
      <c r="J320" s="45"/>
      <c r="K320" s="46"/>
      <c r="L320" s="140">
        <f ca="1">L321+L322</f>
        <v>0</v>
      </c>
      <c r="M320" s="140">
        <f ca="1">M321+M322</f>
        <v>0</v>
      </c>
      <c r="N320" s="140">
        <f ca="1">N321+N322</f>
        <v>0</v>
      </c>
      <c r="O320" s="140">
        <f ca="1">IF(L320&gt;0,N320*100/L320,0)</f>
        <v>0</v>
      </c>
      <c r="P320" s="140">
        <f ca="1">IF(M320&gt;0,N320*100/M320,0)</f>
        <v>0</v>
      </c>
    </row>
    <row r="321" spans="1:16" ht="18.75" hidden="1" x14ac:dyDescent="0.25">
      <c r="A321" s="136"/>
      <c r="B321" s="41"/>
      <c r="C321" s="41"/>
      <c r="D321" s="41"/>
      <c r="E321" s="279" t="s">
        <v>18</v>
      </c>
      <c r="F321" s="41"/>
      <c r="G321" s="43"/>
      <c r="H321" s="141" t="s">
        <v>12</v>
      </c>
      <c r="I321" s="45"/>
      <c r="J321" s="45"/>
      <c r="K321" s="46"/>
      <c r="L321" s="50">
        <f>L324+L327</f>
        <v>0</v>
      </c>
      <c r="M321" s="50">
        <f>M324+M327</f>
        <v>0</v>
      </c>
      <c r="N321" s="50">
        <f>N324+N327</f>
        <v>0</v>
      </c>
      <c r="O321" s="50">
        <f>IF(L321&gt;0,N321*100/L321,0)</f>
        <v>0</v>
      </c>
      <c r="P321" s="50">
        <f>IF(M321&gt;0,N321*100/M321,0)</f>
        <v>0</v>
      </c>
    </row>
    <row r="322" spans="1:16" ht="18.75" hidden="1" x14ac:dyDescent="0.25">
      <c r="A322" s="136"/>
      <c r="B322" s="41"/>
      <c r="C322" s="41"/>
      <c r="D322" s="41"/>
      <c r="E322" s="254" t="s">
        <v>19</v>
      </c>
      <c r="F322" s="41"/>
      <c r="G322" s="43"/>
      <c r="H322" s="142" t="s">
        <v>12</v>
      </c>
      <c r="I322" s="45"/>
      <c r="J322" s="45"/>
      <c r="K322" s="46"/>
      <c r="L322" s="47">
        <f ca="1">L325+L328</f>
        <v>0</v>
      </c>
      <c r="M322" s="47">
        <f ca="1">M325+M328</f>
        <v>0</v>
      </c>
      <c r="N322" s="47">
        <f ca="1">N325+N328</f>
        <v>0</v>
      </c>
      <c r="O322" s="47">
        <f ca="1">IF(L322&gt;0,N322*100/L322,0)</f>
        <v>0</v>
      </c>
      <c r="P322" s="47">
        <f ca="1">IF(M322&gt;0,N322*100/M322,0)</f>
        <v>0</v>
      </c>
    </row>
    <row r="323" spans="1:16" ht="18.75" hidden="1" x14ac:dyDescent="0.25">
      <c r="A323" s="136"/>
      <c r="B323" s="41"/>
      <c r="C323" s="41"/>
      <c r="D323" s="42" t="s">
        <v>20</v>
      </c>
      <c r="E323" s="41"/>
      <c r="F323" s="41"/>
      <c r="G323" s="43"/>
      <c r="H323" s="143" t="s">
        <v>12</v>
      </c>
      <c r="I323" s="144"/>
      <c r="J323" s="144"/>
      <c r="K323" s="145"/>
      <c r="L323" s="47">
        <f ca="1">L324+L325</f>
        <v>0</v>
      </c>
      <c r="M323" s="47">
        <f ca="1">M324+M325</f>
        <v>0</v>
      </c>
      <c r="N323" s="47">
        <f ca="1">N324+N325</f>
        <v>0</v>
      </c>
      <c r="O323" s="47">
        <f ca="1">IF(L323&gt;0,N323*100/L323,0)</f>
        <v>0</v>
      </c>
      <c r="P323" s="47">
        <f ca="1">IF(M323&gt;0,N323*100/M323,0)</f>
        <v>0</v>
      </c>
    </row>
    <row r="324" spans="1:16" ht="18.75" hidden="1" x14ac:dyDescent="0.25">
      <c r="A324" s="136"/>
      <c r="B324" s="41"/>
      <c r="C324" s="41"/>
      <c r="D324" s="41"/>
      <c r="E324" s="279" t="s">
        <v>34</v>
      </c>
      <c r="F324" s="41"/>
      <c r="G324" s="43"/>
      <c r="H324" s="146" t="s">
        <v>12</v>
      </c>
      <c r="I324" s="144"/>
      <c r="J324" s="144"/>
      <c r="K324" s="145"/>
      <c r="L324" s="50">
        <v>0</v>
      </c>
      <c r="M324" s="50">
        <v>0</v>
      </c>
      <c r="N324" s="50">
        <v>0</v>
      </c>
      <c r="O324" s="50">
        <f>IF(L324&gt;0,N324*100/L324,0)</f>
        <v>0</v>
      </c>
      <c r="P324" s="50">
        <f>IF(M324&gt;0,N324*100/M324,0)</f>
        <v>0</v>
      </c>
    </row>
    <row r="325" spans="1:16" ht="18.75" hidden="1" x14ac:dyDescent="0.25">
      <c r="A325" s="136"/>
      <c r="B325" s="41"/>
      <c r="C325" s="41"/>
      <c r="D325" s="41"/>
      <c r="E325" s="254" t="s">
        <v>35</v>
      </c>
      <c r="F325" s="41"/>
      <c r="G325" s="43"/>
      <c r="H325" s="143" t="s">
        <v>12</v>
      </c>
      <c r="I325" s="144"/>
      <c r="J325" s="144"/>
      <c r="K325" s="145"/>
      <c r="L325" s="47">
        <f ca="1">IFERROR(__xludf.DUMMYFUNCTION("IMPORTRANGE(""https://docs.google.com/spreadsheets/d/1-uDff_7J0KD5mKrp0Vvzr7lt3OU09vwQwhkpOPPYv2Y/edit?usp=sharing"",""งบพรบ!EI20"")"),0)</f>
        <v>0</v>
      </c>
      <c r="M325" s="47">
        <f ca="1">IFERROR(__xludf.DUMMYFUNCTION("IMPORTRANGE(""https://docs.google.com/spreadsheets/d/1-uDff_7J0KD5mKrp0Vvzr7lt3OU09vwQwhkpOPPYv2Y/edit?usp=sharing"",""งบพรบ!EN20"")"),0)</f>
        <v>0</v>
      </c>
      <c r="N325" s="47">
        <f ca="1">IFERROR(__xludf.DUMMYFUNCTION("IMPORTRANGE(""https://docs.google.com/spreadsheets/d/1-uDff_7J0KD5mKrp0Vvzr7lt3OU09vwQwhkpOPPYv2Y/edit?usp=sharing"",""งบพรบ!EP20"")"),0)</f>
        <v>0</v>
      </c>
      <c r="O325" s="47">
        <f ca="1">IF(L325&gt;0,N325*100/L325,0)</f>
        <v>0</v>
      </c>
      <c r="P325" s="47">
        <f ca="1">IF(M325&gt;0,N325*100/M325,0)</f>
        <v>0</v>
      </c>
    </row>
    <row r="326" spans="1:16" ht="18.75" hidden="1" x14ac:dyDescent="0.25">
      <c r="A326" s="136"/>
      <c r="B326" s="41"/>
      <c r="C326" s="41"/>
      <c r="D326" s="42" t="s">
        <v>21</v>
      </c>
      <c r="E326" s="41"/>
      <c r="F326" s="41"/>
      <c r="G326" s="43"/>
      <c r="H326" s="147" t="s">
        <v>12</v>
      </c>
      <c r="I326" s="144"/>
      <c r="J326" s="144"/>
      <c r="K326" s="145"/>
      <c r="L326" s="47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</row>
    <row r="327" spans="1:16" ht="18.75" hidden="1" x14ac:dyDescent="0.25">
      <c r="A327" s="136"/>
      <c r="B327" s="41"/>
      <c r="C327" s="41"/>
      <c r="D327" s="41"/>
      <c r="E327" s="279" t="s">
        <v>18</v>
      </c>
      <c r="F327" s="41"/>
      <c r="G327" s="43"/>
      <c r="H327" s="146" t="s">
        <v>12</v>
      </c>
      <c r="I327" s="144"/>
      <c r="J327" s="144"/>
      <c r="K327" s="145"/>
      <c r="L327" s="50">
        <v>0</v>
      </c>
      <c r="M327" s="50">
        <v>0</v>
      </c>
      <c r="N327" s="50">
        <v>0</v>
      </c>
      <c r="O327" s="50">
        <f>IF(L327&gt;0,N327*100/L327,0)</f>
        <v>0</v>
      </c>
      <c r="P327" s="50">
        <f>IF(M327&gt;0,N327*100/M327,0)</f>
        <v>0</v>
      </c>
    </row>
    <row r="328" spans="1:16" ht="18.75" hidden="1" x14ac:dyDescent="0.25">
      <c r="A328" s="136"/>
      <c r="B328" s="41"/>
      <c r="C328" s="41"/>
      <c r="D328" s="41"/>
      <c r="E328" s="254" t="s">
        <v>19</v>
      </c>
      <c r="F328" s="41"/>
      <c r="G328" s="43"/>
      <c r="H328" s="147" t="s">
        <v>12</v>
      </c>
      <c r="I328" s="144"/>
      <c r="J328" s="144"/>
      <c r="K328" s="145"/>
      <c r="L328" s="47">
        <f ca="1">IFERROR(__xludf.DUMMYFUNCTION("IMPORTRANGE(""https://docs.google.com/spreadsheets/d/1-uDff_7J0KD5mKrp0Vvzr7lt3OU09vwQwhkpOPPYv2Y/edit?usp=sharing"",""งบพรบ!EL20"")"),0)</f>
        <v>0</v>
      </c>
      <c r="M328" s="47">
        <f ca="1">IFERROR(__xludf.DUMMYFUNCTION("IMPORTRANGE(""https://docs.google.com/spreadsheets/d/1-uDff_7J0KD5mKrp0Vvzr7lt3OU09vwQwhkpOPPYv2Y/edit?usp=sharing"",""งบพรบ!EO20"")"),0)</f>
        <v>0</v>
      </c>
      <c r="N328" s="47">
        <f ca="1">IFERROR(__xludf.DUMMYFUNCTION("IMPORTRANGE(""https://docs.google.com/spreadsheets/d/1-uDff_7J0KD5mKrp0Vvzr7lt3OU09vwQwhkpOPPYv2Y/edit?usp=sharing"",""งบพรบ!EQ20"")"),0)</f>
        <v>0</v>
      </c>
      <c r="O328" s="47">
        <f ca="1">IF(L328&gt;0,N328*100/L328,0)</f>
        <v>0</v>
      </c>
      <c r="P328" s="47">
        <f ca="1">IF(M328&gt;0,N328*100/M328,0)</f>
        <v>0</v>
      </c>
    </row>
    <row r="329" spans="1:16" ht="19.5" hidden="1" x14ac:dyDescent="0.3">
      <c r="A329" s="148"/>
      <c r="B329" s="149"/>
      <c r="C329" s="197" t="s">
        <v>16</v>
      </c>
      <c r="D329" s="395" t="s">
        <v>36</v>
      </c>
      <c r="E329" s="151"/>
      <c r="F329" s="151"/>
      <c r="G329" s="152"/>
      <c r="H329" s="153"/>
      <c r="I329" s="144"/>
      <c r="J329" s="45"/>
      <c r="K329" s="46"/>
      <c r="L329" s="46"/>
      <c r="M329" s="46"/>
      <c r="N329" s="46"/>
      <c r="O329" s="145"/>
      <c r="P329" s="145"/>
    </row>
    <row r="330" spans="1:16" ht="18.75" hidden="1" x14ac:dyDescent="0.25">
      <c r="A330" s="148"/>
      <c r="B330" s="149"/>
      <c r="C330" s="149"/>
      <c r="D330" s="154" t="s">
        <v>128</v>
      </c>
      <c r="E330" s="155"/>
      <c r="F330" s="155"/>
      <c r="G330" s="153"/>
      <c r="H330" s="44" t="s">
        <v>127</v>
      </c>
      <c r="I330" s="169">
        <f ca="1">IFERROR(__xludf.DUMMYFUNCTION("IMPORTRANGE(""https://docs.google.com/spreadsheets/d/1eHaY18a8A9IcSdp1K8H6x8fbOy06t2VsZHhMHf-1x7Y/edit?usp=sharing"",""แผน!EJ20"")"),0)</f>
        <v>0</v>
      </c>
      <c r="J330" s="250">
        <v>0</v>
      </c>
      <c r="K330" s="47">
        <f ca="1">IF(I330&gt;0,J330*100/I330,0)</f>
        <v>0</v>
      </c>
      <c r="L330" s="46"/>
      <c r="M330" s="46"/>
      <c r="N330" s="46"/>
      <c r="O330" s="145"/>
      <c r="P330" s="145"/>
    </row>
    <row r="331" spans="1:16" ht="19.5" x14ac:dyDescent="0.3">
      <c r="A331" s="317" t="s">
        <v>129</v>
      </c>
      <c r="B331" s="318"/>
      <c r="C331" s="318"/>
      <c r="D331" s="319"/>
      <c r="E331" s="318"/>
      <c r="F331" s="318"/>
      <c r="G331" s="318"/>
      <c r="H331" s="319"/>
      <c r="I331" s="321"/>
      <c r="J331" s="321"/>
      <c r="K331" s="322"/>
      <c r="L331" s="322"/>
      <c r="M331" s="322"/>
      <c r="N331" s="322"/>
      <c r="O331" s="322"/>
      <c r="P331" s="322"/>
    </row>
    <row r="332" spans="1:16" ht="19.5" x14ac:dyDescent="0.3">
      <c r="A332" s="323"/>
      <c r="B332" s="324" t="s">
        <v>130</v>
      </c>
      <c r="C332" s="333"/>
      <c r="D332" s="325"/>
      <c r="E332" s="325"/>
      <c r="F332" s="325"/>
      <c r="G332" s="326"/>
      <c r="H332" s="327" t="s">
        <v>33</v>
      </c>
      <c r="I332" s="334">
        <f ca="1">I344</f>
        <v>1060</v>
      </c>
      <c r="J332" s="335">
        <f ca="1">J344+J347+J348+J349+J353</f>
        <v>3361</v>
      </c>
      <c r="K332" s="336">
        <f ca="1">IF(I332&gt;0,J332*100/I332,0)</f>
        <v>317.07547169811323</v>
      </c>
      <c r="L332" s="330"/>
      <c r="M332" s="330"/>
      <c r="N332" s="330"/>
      <c r="O332" s="330"/>
      <c r="P332" s="330"/>
    </row>
    <row r="333" spans="1:16" ht="19.5" x14ac:dyDescent="0.3">
      <c r="A333" s="136"/>
      <c r="B333" s="41"/>
      <c r="C333" s="197" t="s">
        <v>16</v>
      </c>
      <c r="D333" s="397" t="s">
        <v>17</v>
      </c>
      <c r="E333" s="41"/>
      <c r="F333" s="41"/>
      <c r="G333" s="43"/>
      <c r="H333" s="139" t="s">
        <v>12</v>
      </c>
      <c r="I333" s="45"/>
      <c r="J333" s="45"/>
      <c r="K333" s="46"/>
      <c r="L333" s="140">
        <f ca="1">L334+L335</f>
        <v>106000</v>
      </c>
      <c r="M333" s="140">
        <f ca="1">M334+M335</f>
        <v>85750</v>
      </c>
      <c r="N333" s="140">
        <f ca="1">N334+N335</f>
        <v>9700</v>
      </c>
      <c r="O333" s="140">
        <f ca="1">IF(L333&gt;0,N333*100/L333,0)</f>
        <v>9.1509433962264151</v>
      </c>
      <c r="P333" s="140">
        <f ca="1">IF(M333&gt;0,N333*100/M333,0)</f>
        <v>11.311953352769679</v>
      </c>
    </row>
    <row r="334" spans="1:16" ht="18.75" hidden="1" x14ac:dyDescent="0.25">
      <c r="A334" s="136"/>
      <c r="B334" s="41"/>
      <c r="C334" s="41"/>
      <c r="D334" s="41"/>
      <c r="E334" s="279" t="s">
        <v>18</v>
      </c>
      <c r="F334" s="41"/>
      <c r="G334" s="43"/>
      <c r="H334" s="141" t="s">
        <v>12</v>
      </c>
      <c r="I334" s="45"/>
      <c r="J334" s="45"/>
      <c r="K334" s="46"/>
      <c r="L334" s="50">
        <f>L337+L340</f>
        <v>0</v>
      </c>
      <c r="M334" s="50">
        <f>M337+M340</f>
        <v>0</v>
      </c>
      <c r="N334" s="50">
        <f>N337+N340</f>
        <v>0</v>
      </c>
      <c r="O334" s="50">
        <f>IF(L334&gt;0,N334*100/L334,0)</f>
        <v>0</v>
      </c>
      <c r="P334" s="50">
        <f>IF(M334&gt;0,N334*100/M334,0)</f>
        <v>0</v>
      </c>
    </row>
    <row r="335" spans="1:16" ht="18.75" x14ac:dyDescent="0.25">
      <c r="A335" s="136"/>
      <c r="B335" s="41"/>
      <c r="C335" s="41"/>
      <c r="D335" s="41"/>
      <c r="E335" s="254" t="s">
        <v>19</v>
      </c>
      <c r="F335" s="41"/>
      <c r="G335" s="43"/>
      <c r="H335" s="142" t="s">
        <v>12</v>
      </c>
      <c r="I335" s="45"/>
      <c r="J335" s="45"/>
      <c r="K335" s="46"/>
      <c r="L335" s="47">
        <f ca="1">L338+L341</f>
        <v>106000</v>
      </c>
      <c r="M335" s="47">
        <f ca="1">M338+M341</f>
        <v>85750</v>
      </c>
      <c r="N335" s="47">
        <f ca="1">N338+N341</f>
        <v>9700</v>
      </c>
      <c r="O335" s="47">
        <f ca="1">IF(L335&gt;0,N335*100/L335,0)</f>
        <v>9.1509433962264151</v>
      </c>
      <c r="P335" s="47">
        <f ca="1">IF(M335&gt;0,N335*100/M335,0)</f>
        <v>11.311953352769679</v>
      </c>
    </row>
    <row r="336" spans="1:16" ht="18.75" x14ac:dyDescent="0.25">
      <c r="A336" s="136"/>
      <c r="B336" s="41"/>
      <c r="C336" s="41"/>
      <c r="D336" s="42" t="s">
        <v>20</v>
      </c>
      <c r="E336" s="41"/>
      <c r="F336" s="41"/>
      <c r="G336" s="43"/>
      <c r="H336" s="143" t="s">
        <v>12</v>
      </c>
      <c r="I336" s="144"/>
      <c r="J336" s="144"/>
      <c r="K336" s="145"/>
      <c r="L336" s="47">
        <f ca="1">L337+L338</f>
        <v>106000</v>
      </c>
      <c r="M336" s="47">
        <f ca="1">M337+M338</f>
        <v>85750</v>
      </c>
      <c r="N336" s="47">
        <f ca="1">N337+N338</f>
        <v>9700</v>
      </c>
      <c r="O336" s="47">
        <f ca="1">IF(L336&gt;0,N336*100/L336,0)</f>
        <v>9.1509433962264151</v>
      </c>
      <c r="P336" s="47">
        <f ca="1">IF(M336&gt;0,N336*100/M336,0)</f>
        <v>11.311953352769679</v>
      </c>
    </row>
    <row r="337" spans="1:16" ht="18.75" hidden="1" x14ac:dyDescent="0.25">
      <c r="A337" s="136"/>
      <c r="B337" s="41"/>
      <c r="C337" s="41"/>
      <c r="D337" s="41"/>
      <c r="E337" s="279" t="s">
        <v>34</v>
      </c>
      <c r="F337" s="41"/>
      <c r="G337" s="43"/>
      <c r="H337" s="146" t="s">
        <v>12</v>
      </c>
      <c r="I337" s="144"/>
      <c r="J337" s="144"/>
      <c r="K337" s="145"/>
      <c r="L337" s="50">
        <v>0</v>
      </c>
      <c r="M337" s="50">
        <v>0</v>
      </c>
      <c r="N337" s="50">
        <v>0</v>
      </c>
      <c r="O337" s="50">
        <f>IF(L337&gt;0,N337*100/L337,0)</f>
        <v>0</v>
      </c>
      <c r="P337" s="50">
        <f>IF(M337&gt;0,N337*100/M337,0)</f>
        <v>0</v>
      </c>
    </row>
    <row r="338" spans="1:16" ht="18.75" x14ac:dyDescent="0.25">
      <c r="A338" s="136"/>
      <c r="B338" s="41"/>
      <c r="C338" s="41"/>
      <c r="D338" s="41"/>
      <c r="E338" s="254" t="s">
        <v>35</v>
      </c>
      <c r="F338" s="41"/>
      <c r="G338" s="43"/>
      <c r="H338" s="143" t="s">
        <v>12</v>
      </c>
      <c r="I338" s="144"/>
      <c r="J338" s="144"/>
      <c r="K338" s="145"/>
      <c r="L338" s="47">
        <f ca="1">IFERROR(__xludf.DUMMYFUNCTION("IMPORTRANGE(""https://docs.google.com/spreadsheets/d/1-uDff_7J0KD5mKrp0Vvzr7lt3OU09vwQwhkpOPPYv2Y/edit?usp=sharing"",""งบพรบ!ES20"")"),106000)</f>
        <v>106000</v>
      </c>
      <c r="M338" s="47">
        <f ca="1">IFERROR(__xludf.DUMMYFUNCTION("IMPORTRANGE(""https://docs.google.com/spreadsheets/d/1-uDff_7J0KD5mKrp0Vvzr7lt3OU09vwQwhkpOPPYv2Y/edit?usp=sharing"",""งบพรบ!EX20"")"),85750)</f>
        <v>85750</v>
      </c>
      <c r="N338" s="47">
        <f ca="1">IFERROR(__xludf.DUMMYFUNCTION("IMPORTRANGE(""https://docs.google.com/spreadsheets/d/1-uDff_7J0KD5mKrp0Vvzr7lt3OU09vwQwhkpOPPYv2Y/edit?usp=sharing"",""งบพรบ!EZ20"")"),9700)</f>
        <v>9700</v>
      </c>
      <c r="O338" s="47">
        <f ca="1">IF(L338&gt;0,N338*100/L338,0)</f>
        <v>9.1509433962264151</v>
      </c>
      <c r="P338" s="47">
        <f ca="1">IF(M338&gt;0,N338*100/M338,0)</f>
        <v>11.311953352769679</v>
      </c>
    </row>
    <row r="339" spans="1:16" ht="18.75" x14ac:dyDescent="0.25">
      <c r="A339" s="136"/>
      <c r="B339" s="41"/>
      <c r="C339" s="41"/>
      <c r="D339" s="42" t="s">
        <v>21</v>
      </c>
      <c r="E339" s="41"/>
      <c r="F339" s="41"/>
      <c r="G339" s="43"/>
      <c r="H339" s="147" t="s">
        <v>12</v>
      </c>
      <c r="I339" s="144"/>
      <c r="J339" s="144"/>
      <c r="K339" s="145"/>
      <c r="L339" s="47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</row>
    <row r="340" spans="1:16" ht="18.75" hidden="1" x14ac:dyDescent="0.25">
      <c r="A340" s="136"/>
      <c r="B340" s="41"/>
      <c r="C340" s="41"/>
      <c r="D340" s="41"/>
      <c r="E340" s="279" t="s">
        <v>18</v>
      </c>
      <c r="F340" s="41"/>
      <c r="G340" s="43"/>
      <c r="H340" s="146" t="s">
        <v>12</v>
      </c>
      <c r="I340" s="144"/>
      <c r="J340" s="144"/>
      <c r="K340" s="145"/>
      <c r="L340" s="50">
        <v>0</v>
      </c>
      <c r="M340" s="50">
        <v>0</v>
      </c>
      <c r="N340" s="50">
        <v>0</v>
      </c>
      <c r="O340" s="50">
        <f>IF(L340&gt;0,N340*100/L340,0)</f>
        <v>0</v>
      </c>
      <c r="P340" s="50">
        <f>IF(M340&gt;0,N340*100/M340,0)</f>
        <v>0</v>
      </c>
    </row>
    <row r="341" spans="1:16" ht="18.75" x14ac:dyDescent="0.25">
      <c r="A341" s="136"/>
      <c r="B341" s="41"/>
      <c r="C341" s="41"/>
      <c r="D341" s="41"/>
      <c r="E341" s="254" t="s">
        <v>19</v>
      </c>
      <c r="F341" s="41"/>
      <c r="G341" s="43"/>
      <c r="H341" s="147" t="s">
        <v>12</v>
      </c>
      <c r="I341" s="144"/>
      <c r="J341" s="144"/>
      <c r="K341" s="145"/>
      <c r="L341" s="47">
        <f ca="1">IFERROR(__xludf.DUMMYFUNCTION("IMPORTRANGE(""https://docs.google.com/spreadsheets/d/1-uDff_7J0KD5mKrp0Vvzr7lt3OU09vwQwhkpOPPYv2Y/edit?usp=sharing"",""งบพรบ!EV20"")"),0)</f>
        <v>0</v>
      </c>
      <c r="M341" s="47">
        <f ca="1">IFERROR(__xludf.DUMMYFUNCTION("IMPORTRANGE(""https://docs.google.com/spreadsheets/d/1-uDff_7J0KD5mKrp0Vvzr7lt3OU09vwQwhkpOPPYv2Y/edit?usp=sharing"",""งบพรบ!EY20"")"),0)</f>
        <v>0</v>
      </c>
      <c r="N341" s="47">
        <f ca="1">IFERROR(__xludf.DUMMYFUNCTION("IMPORTRANGE(""https://docs.google.com/spreadsheets/d/1-uDff_7J0KD5mKrp0Vvzr7lt3OU09vwQwhkpOPPYv2Y/edit?usp=sharing"",""งบพรบ!FA20"")"),0)</f>
        <v>0</v>
      </c>
      <c r="O341" s="47">
        <f ca="1">IF(L341&gt;0,N341*100/L341,0)</f>
        <v>0</v>
      </c>
      <c r="P341" s="47">
        <f ca="1">IF(M341&gt;0,N341*100/M341,0)</f>
        <v>0</v>
      </c>
    </row>
    <row r="342" spans="1:16" ht="19.5" x14ac:dyDescent="0.3">
      <c r="A342" s="148"/>
      <c r="B342" s="149"/>
      <c r="C342" s="197" t="s">
        <v>16</v>
      </c>
      <c r="D342" s="221" t="s">
        <v>36</v>
      </c>
      <c r="E342" s="151"/>
      <c r="F342" s="151"/>
      <c r="G342" s="152"/>
      <c r="H342" s="43"/>
      <c r="I342" s="45"/>
      <c r="J342" s="45"/>
      <c r="K342" s="46"/>
      <c r="L342" s="46"/>
      <c r="M342" s="46"/>
      <c r="N342" s="46"/>
      <c r="O342" s="145"/>
      <c r="P342" s="145"/>
    </row>
    <row r="343" spans="1:16" ht="19.5" x14ac:dyDescent="0.3">
      <c r="A343" s="337"/>
      <c r="B343" s="338"/>
      <c r="C343" s="339"/>
      <c r="D343" s="338"/>
      <c r="E343" s="398" t="s">
        <v>131</v>
      </c>
      <c r="F343" s="338"/>
      <c r="G343" s="341"/>
      <c r="H343" s="342" t="s">
        <v>33</v>
      </c>
      <c r="I343" s="343">
        <v>0</v>
      </c>
      <c r="J343" s="343">
        <f ca="1">J344+J347+J348+J349</f>
        <v>131</v>
      </c>
      <c r="K343" s="344">
        <v>0</v>
      </c>
      <c r="L343" s="345"/>
      <c r="M343" s="345"/>
      <c r="N343" s="345"/>
      <c r="O343" s="345"/>
      <c r="P343" s="345"/>
    </row>
    <row r="344" spans="1:16" ht="18.75" x14ac:dyDescent="0.25">
      <c r="A344" s="227"/>
      <c r="B344" s="41"/>
      <c r="C344" s="228"/>
      <c r="D344" s="155"/>
      <c r="E344" s="159" t="s">
        <v>132</v>
      </c>
      <c r="F344" s="41"/>
      <c r="G344" s="43"/>
      <c r="H344" s="230" t="s">
        <v>33</v>
      </c>
      <c r="I344" s="169">
        <f ca="1">IFERROR(__xludf.DUMMYFUNCTION("IMPORTRANGE(""https://docs.google.com/spreadsheets/d/1eHaY18a8A9IcSdp1K8H6x8fbOy06t2VsZHhMHf-1x7Y/edit?usp=sharing"",""แผน!EK20"")"),1060)</f>
        <v>1060</v>
      </c>
      <c r="J344" s="169">
        <f ca="1">IFERROR(__xludf.DUMMYFUNCTION("IMPORTRANGE(""https://docs.google.com/spreadsheets/d/1awYsYK3VOup2i3Pq_Yjnu8DRu_mYwSBnCR2QPthd0rU/edit?usp=sharing"",""ศูนย์ยกเว้นโฉนด!D20"")"),129)</f>
        <v>129</v>
      </c>
      <c r="K344" s="47">
        <f ca="1">IF(I344&gt;0,J344*100/I344,0)</f>
        <v>12.169811320754716</v>
      </c>
      <c r="L344" s="46"/>
      <c r="M344" s="46"/>
      <c r="N344" s="46"/>
      <c r="O344" s="46"/>
      <c r="P344" s="46"/>
    </row>
    <row r="345" spans="1:16" ht="18.75" x14ac:dyDescent="0.25">
      <c r="A345" s="227"/>
      <c r="B345" s="41"/>
      <c r="C345" s="228"/>
      <c r="D345" s="155"/>
      <c r="E345" s="159" t="s">
        <v>133</v>
      </c>
      <c r="F345" s="41"/>
      <c r="G345" s="43"/>
      <c r="H345" s="346"/>
      <c r="I345" s="45"/>
      <c r="J345" s="45"/>
      <c r="K345" s="46"/>
      <c r="L345" s="46"/>
      <c r="M345" s="46"/>
      <c r="N345" s="46"/>
      <c r="O345" s="46"/>
      <c r="P345" s="46"/>
    </row>
    <row r="346" spans="1:16" ht="18.75" x14ac:dyDescent="0.25">
      <c r="A346" s="227"/>
      <c r="B346" s="41"/>
      <c r="C346" s="228"/>
      <c r="D346" s="155"/>
      <c r="E346" s="155"/>
      <c r="F346" s="159" t="s">
        <v>134</v>
      </c>
      <c r="G346" s="43"/>
      <c r="H346" s="347" t="s">
        <v>135</v>
      </c>
      <c r="I346" s="169">
        <f ca="1">IFERROR(__xludf.DUMMYFUNCTION("IMPORTRANGE(""https://docs.google.com/spreadsheets/d/1eHaY18a8A9IcSdp1K8H6x8fbOy06t2VsZHhMHf-1x7Y/edit?usp=sharing"",""แผน!EL20"")"),3)</f>
        <v>3</v>
      </c>
      <c r="J346" s="169">
        <f ca="1">IFERROR(__xludf.DUMMYFUNCTION("IMPORTRANGE(""https://docs.google.com/spreadsheets/d/1awYsYK3VOup2i3Pq_Yjnu8DRu_mYwSBnCR2QPthd0rU/edit?usp=sharing"",""ศูนย์รวม!E20"")"),0)</f>
        <v>0</v>
      </c>
      <c r="K346" s="47">
        <f ca="1">IF(I346&gt;0,J346*100/I346,0)</f>
        <v>0</v>
      </c>
      <c r="L346" s="46"/>
      <c r="M346" s="46"/>
      <c r="N346" s="46"/>
      <c r="O346" s="46"/>
      <c r="P346" s="46"/>
    </row>
    <row r="347" spans="1:16" ht="18.75" x14ac:dyDescent="0.25">
      <c r="A347" s="227"/>
      <c r="B347" s="41"/>
      <c r="C347" s="228"/>
      <c r="D347" s="155"/>
      <c r="E347" s="155"/>
      <c r="F347" s="159" t="s">
        <v>136</v>
      </c>
      <c r="G347" s="43"/>
      <c r="H347" s="347" t="s">
        <v>33</v>
      </c>
      <c r="I347" s="45"/>
      <c r="J347" s="169">
        <f ca="1">IFERROR(__xludf.DUMMYFUNCTION("IMPORTRANGE(""https://docs.google.com/spreadsheets/d/1awYsYK3VOup2i3Pq_Yjnu8DRu_mYwSBnCR2QPthd0rU/edit?usp=sharing"",""ศูนย์ยกเว้นโฉนด!F20"")"),0)</f>
        <v>0</v>
      </c>
      <c r="K347" s="46"/>
      <c r="L347" s="46"/>
      <c r="M347" s="46"/>
      <c r="N347" s="46"/>
      <c r="O347" s="46"/>
      <c r="P347" s="46"/>
    </row>
    <row r="348" spans="1:16" ht="18.75" x14ac:dyDescent="0.25">
      <c r="A348" s="227"/>
      <c r="B348" s="41"/>
      <c r="C348" s="228"/>
      <c r="D348" s="155"/>
      <c r="E348" s="159" t="s">
        <v>137</v>
      </c>
      <c r="F348" s="155"/>
      <c r="G348" s="43"/>
      <c r="H348" s="347" t="s">
        <v>33</v>
      </c>
      <c r="I348" s="45"/>
      <c r="J348" s="169">
        <f ca="1">IFERROR(__xludf.DUMMYFUNCTION("IMPORTRANGE(""https://docs.google.com/spreadsheets/d/1awYsYK3VOup2i3Pq_Yjnu8DRu_mYwSBnCR2QPthd0rU/edit?usp=sharing"",""ศูนย์ยกเว้นโฉนด!G20"")"),2)</f>
        <v>2</v>
      </c>
      <c r="K348" s="46"/>
      <c r="L348" s="46"/>
      <c r="M348" s="46"/>
      <c r="N348" s="46"/>
      <c r="O348" s="46"/>
      <c r="P348" s="46"/>
    </row>
    <row r="349" spans="1:16" ht="18.75" x14ac:dyDescent="0.25">
      <c r="A349" s="227"/>
      <c r="B349" s="41"/>
      <c r="C349" s="228"/>
      <c r="D349" s="149"/>
      <c r="E349" s="159" t="s">
        <v>138</v>
      </c>
      <c r="F349" s="155"/>
      <c r="G349" s="43"/>
      <c r="H349" s="347" t="s">
        <v>33</v>
      </c>
      <c r="I349" s="45"/>
      <c r="J349" s="169">
        <f ca="1">IFERROR(__xludf.DUMMYFUNCTION("IMPORTRANGE(""https://docs.google.com/spreadsheets/d/1awYsYK3VOup2i3Pq_Yjnu8DRu_mYwSBnCR2QPthd0rU/edit?usp=sharing"",""ศูนย์ยกเว้นโฉนด!H20"")"),0)</f>
        <v>0</v>
      </c>
      <c r="K349" s="46"/>
      <c r="L349" s="46"/>
      <c r="M349" s="46"/>
      <c r="N349" s="46"/>
      <c r="O349" s="46"/>
      <c r="P349" s="46"/>
    </row>
    <row r="350" spans="1:16" ht="16.5" x14ac:dyDescent="0.25">
      <c r="A350" s="228"/>
      <c r="B350" s="41"/>
      <c r="C350" s="228"/>
      <c r="D350" s="34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1"/>
      <c r="F350" s="41"/>
      <c r="G350" s="43"/>
      <c r="H350" s="346"/>
      <c r="I350" s="45"/>
      <c r="J350" s="45"/>
      <c r="K350" s="46"/>
      <c r="L350" s="46"/>
      <c r="M350" s="46"/>
      <c r="N350" s="46"/>
      <c r="O350" s="46"/>
      <c r="P350" s="46"/>
    </row>
    <row r="351" spans="1:16" ht="19.5" x14ac:dyDescent="0.3">
      <c r="A351" s="233"/>
      <c r="B351" s="236"/>
      <c r="C351" s="234"/>
      <c r="D351" s="236"/>
      <c r="E351" s="396" t="s">
        <v>139</v>
      </c>
      <c r="F351" s="236"/>
      <c r="G351" s="237"/>
      <c r="H351" s="238" t="s">
        <v>33</v>
      </c>
      <c r="I351" s="239">
        <v>0</v>
      </c>
      <c r="J351" s="239">
        <f ca="1">J352+J353</f>
        <v>3762</v>
      </c>
      <c r="K351" s="240">
        <v>0</v>
      </c>
      <c r="L351" s="241"/>
      <c r="M351" s="241"/>
      <c r="N351" s="241"/>
      <c r="O351" s="241"/>
      <c r="P351" s="241"/>
    </row>
    <row r="352" spans="1:16" ht="18.75" x14ac:dyDescent="0.25">
      <c r="A352" s="228"/>
      <c r="B352" s="41"/>
      <c r="C352" s="228"/>
      <c r="D352" s="155"/>
      <c r="E352" s="159" t="s">
        <v>140</v>
      </c>
      <c r="F352" s="41"/>
      <c r="G352" s="43"/>
      <c r="H352" s="142" t="s">
        <v>33</v>
      </c>
      <c r="I352" s="45"/>
      <c r="J352" s="169">
        <f ca="1">IFERROR(__xludf.DUMMYFUNCTION("IMPORTRANGE(""https://docs.google.com/spreadsheets/d/1awYsYK3VOup2i3Pq_Yjnu8DRu_mYwSBnCR2QPthd0rU/edit?usp=sharing"",""โฉนดM3!G20"")"),532)</f>
        <v>532</v>
      </c>
      <c r="K352" s="46"/>
      <c r="L352" s="46"/>
      <c r="M352" s="46"/>
      <c r="N352" s="46"/>
      <c r="O352" s="46"/>
      <c r="P352" s="46"/>
    </row>
    <row r="353" spans="1:16" ht="18.75" x14ac:dyDescent="0.25">
      <c r="A353" s="228"/>
      <c r="B353" s="41"/>
      <c r="C353" s="228"/>
      <c r="D353" s="155"/>
      <c r="E353" s="159" t="s">
        <v>141</v>
      </c>
      <c r="F353" s="41"/>
      <c r="G353" s="43"/>
      <c r="H353" s="142" t="s">
        <v>33</v>
      </c>
      <c r="I353" s="45"/>
      <c r="J353" s="169">
        <f ca="1">IFERROR(__xludf.DUMMYFUNCTION("IMPORTRANGE(""https://docs.google.com/spreadsheets/d/1awYsYK3VOup2i3Pq_Yjnu8DRu_mYwSBnCR2QPthd0rU/edit?usp=sharing"",""โฉนดM3!H20"")"),3230)</f>
        <v>3230</v>
      </c>
      <c r="K353" s="46"/>
      <c r="L353" s="46"/>
      <c r="M353" s="46"/>
      <c r="N353" s="46"/>
      <c r="O353" s="46"/>
      <c r="P353" s="46"/>
    </row>
    <row r="354" spans="1:16" ht="16.5" x14ac:dyDescent="0.25">
      <c r="A354" s="228"/>
      <c r="B354" s="41"/>
      <c r="C354" s="228"/>
      <c r="D354" s="34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1"/>
      <c r="F354" s="41"/>
      <c r="G354" s="43"/>
      <c r="H354" s="346"/>
      <c r="I354" s="45"/>
      <c r="J354" s="45"/>
      <c r="K354" s="46"/>
      <c r="L354" s="46"/>
      <c r="M354" s="46"/>
      <c r="N354" s="46"/>
      <c r="O354" s="46"/>
      <c r="P354" s="46"/>
    </row>
    <row r="355" spans="1:16" ht="19.5" x14ac:dyDescent="0.3">
      <c r="A355" s="323"/>
      <c r="B355" s="324" t="s">
        <v>142</v>
      </c>
      <c r="C355" s="333"/>
      <c r="D355" s="325"/>
      <c r="E355" s="325"/>
      <c r="F355" s="325"/>
      <c r="G355" s="326"/>
      <c r="H355" s="326"/>
      <c r="I355" s="350"/>
      <c r="J355" s="350"/>
      <c r="K355" s="330"/>
      <c r="L355" s="330"/>
      <c r="M355" s="330"/>
      <c r="N355" s="330"/>
      <c r="O355" s="330"/>
      <c r="P355" s="330"/>
    </row>
    <row r="356" spans="1:16" ht="19.5" x14ac:dyDescent="0.3">
      <c r="A356" s="136"/>
      <c r="B356" s="41"/>
      <c r="C356" s="197" t="s">
        <v>16</v>
      </c>
      <c r="D356" s="397" t="s">
        <v>17</v>
      </c>
      <c r="E356" s="41"/>
      <c r="F356" s="41"/>
      <c r="G356" s="43"/>
      <c r="H356" s="139" t="s">
        <v>12</v>
      </c>
      <c r="I356" s="45"/>
      <c r="J356" s="45"/>
      <c r="K356" s="46"/>
      <c r="L356" s="140">
        <f ca="1">L357+L358</f>
        <v>235980</v>
      </c>
      <c r="M356" s="140">
        <f ca="1">M357+M358</f>
        <v>219900</v>
      </c>
      <c r="N356" s="140">
        <f ca="1">N357+N358</f>
        <v>42160</v>
      </c>
      <c r="O356" s="140">
        <f ca="1">IF(L356&gt;0,N356*100/L356,0)</f>
        <v>17.865920840749215</v>
      </c>
      <c r="P356" s="140">
        <f ca="1">IF(M356&gt;0,N356*100/M356,0)</f>
        <v>19.172351068667577</v>
      </c>
    </row>
    <row r="357" spans="1:16" ht="18.75" hidden="1" x14ac:dyDescent="0.25">
      <c r="A357" s="136"/>
      <c r="B357" s="41"/>
      <c r="C357" s="41"/>
      <c r="D357" s="41"/>
      <c r="E357" s="279" t="s">
        <v>18</v>
      </c>
      <c r="F357" s="41"/>
      <c r="G357" s="43"/>
      <c r="H357" s="141" t="s">
        <v>12</v>
      </c>
      <c r="I357" s="45"/>
      <c r="J357" s="45"/>
      <c r="K357" s="46"/>
      <c r="L357" s="50">
        <f>L360+L363</f>
        <v>0</v>
      </c>
      <c r="M357" s="50">
        <f>M360+M363</f>
        <v>0</v>
      </c>
      <c r="N357" s="50">
        <f>N360+N363</f>
        <v>0</v>
      </c>
      <c r="O357" s="50">
        <f>IF(L357&gt;0,N357*100/L357,0)</f>
        <v>0</v>
      </c>
      <c r="P357" s="50">
        <f>IF(M357&gt;0,N357*100/M357,0)</f>
        <v>0</v>
      </c>
    </row>
    <row r="358" spans="1:16" ht="18.75" x14ac:dyDescent="0.25">
      <c r="A358" s="136"/>
      <c r="B358" s="41"/>
      <c r="C358" s="41"/>
      <c r="D358" s="41"/>
      <c r="E358" s="254" t="s">
        <v>19</v>
      </c>
      <c r="F358" s="41"/>
      <c r="G358" s="43"/>
      <c r="H358" s="142" t="s">
        <v>12</v>
      </c>
      <c r="I358" s="45"/>
      <c r="J358" s="45"/>
      <c r="K358" s="46"/>
      <c r="L358" s="47">
        <f ca="1">L361+L364</f>
        <v>235980</v>
      </c>
      <c r="M358" s="47">
        <f ca="1">M361+M364</f>
        <v>219900</v>
      </c>
      <c r="N358" s="47">
        <f ca="1">N361+N364</f>
        <v>42160</v>
      </c>
      <c r="O358" s="47">
        <f ca="1">IF(L358&gt;0,N358*100/L358,0)</f>
        <v>17.865920840749215</v>
      </c>
      <c r="P358" s="47">
        <f ca="1">IF(M358&gt;0,N358*100/M358,0)</f>
        <v>19.172351068667577</v>
      </c>
    </row>
    <row r="359" spans="1:16" ht="18.75" x14ac:dyDescent="0.25">
      <c r="A359" s="136"/>
      <c r="B359" s="41"/>
      <c r="C359" s="41"/>
      <c r="D359" s="42" t="s">
        <v>20</v>
      </c>
      <c r="E359" s="41"/>
      <c r="F359" s="41"/>
      <c r="G359" s="43"/>
      <c r="H359" s="143" t="s">
        <v>12</v>
      </c>
      <c r="I359" s="144"/>
      <c r="J359" s="144"/>
      <c r="K359" s="145"/>
      <c r="L359" s="47">
        <f ca="1">L360+L361</f>
        <v>235980</v>
      </c>
      <c r="M359" s="47">
        <f ca="1">M360+M361</f>
        <v>219900</v>
      </c>
      <c r="N359" s="47">
        <f ca="1">N360+N361</f>
        <v>42160</v>
      </c>
      <c r="O359" s="47">
        <f ca="1">IF(L359&gt;0,N359*100/L359,0)</f>
        <v>17.865920840749215</v>
      </c>
      <c r="P359" s="47">
        <f ca="1">IF(M359&gt;0,N359*100/M359,0)</f>
        <v>19.172351068667577</v>
      </c>
    </row>
    <row r="360" spans="1:16" ht="18.75" hidden="1" x14ac:dyDescent="0.25">
      <c r="A360" s="136"/>
      <c r="B360" s="41"/>
      <c r="C360" s="41"/>
      <c r="D360" s="41"/>
      <c r="E360" s="279" t="s">
        <v>34</v>
      </c>
      <c r="F360" s="41"/>
      <c r="G360" s="43"/>
      <c r="H360" s="146" t="s">
        <v>12</v>
      </c>
      <c r="I360" s="144"/>
      <c r="J360" s="144"/>
      <c r="K360" s="145"/>
      <c r="L360" s="50">
        <v>0</v>
      </c>
      <c r="M360" s="50">
        <v>0</v>
      </c>
      <c r="N360" s="50">
        <v>0</v>
      </c>
      <c r="O360" s="50">
        <f>IF(L360&gt;0,N360*100/L360,0)</f>
        <v>0</v>
      </c>
      <c r="P360" s="50">
        <f>IF(M360&gt;0,N360*100/M360,0)</f>
        <v>0</v>
      </c>
    </row>
    <row r="361" spans="1:16" ht="18.75" x14ac:dyDescent="0.25">
      <c r="A361" s="136"/>
      <c r="B361" s="41"/>
      <c r="C361" s="41"/>
      <c r="D361" s="41"/>
      <c r="E361" s="254" t="s">
        <v>35</v>
      </c>
      <c r="F361" s="41"/>
      <c r="G361" s="43"/>
      <c r="H361" s="143" t="s">
        <v>12</v>
      </c>
      <c r="I361" s="144"/>
      <c r="J361" s="144"/>
      <c r="K361" s="145"/>
      <c r="L361" s="47">
        <f ca="1">IFERROR(__xludf.DUMMYFUNCTION("IMPORTRANGE(""https://docs.google.com/spreadsheets/d/1-uDff_7J0KD5mKrp0Vvzr7lt3OU09vwQwhkpOPPYv2Y/edit?usp=sharing"",""งบพรบ!FC20"")"),235980)</f>
        <v>235980</v>
      </c>
      <c r="M361" s="47">
        <f ca="1">IFERROR(__xludf.DUMMYFUNCTION("IMPORTRANGE(""https://docs.google.com/spreadsheets/d/1-uDff_7J0KD5mKrp0Vvzr7lt3OU09vwQwhkpOPPYv2Y/edit?usp=sharing"",""งบพรบ!FH20"")"),219900)</f>
        <v>219900</v>
      </c>
      <c r="N361" s="47">
        <f ca="1">IFERROR(__xludf.DUMMYFUNCTION("IMPORTRANGE(""https://docs.google.com/spreadsheets/d/1-uDff_7J0KD5mKrp0Vvzr7lt3OU09vwQwhkpOPPYv2Y/edit?usp=sharing"",""งบพรบ!FJ20"")"),42160)</f>
        <v>42160</v>
      </c>
      <c r="O361" s="47">
        <f ca="1">IF(L361&gt;0,N361*100/L361,0)</f>
        <v>17.865920840749215</v>
      </c>
      <c r="P361" s="47">
        <f ca="1">IF(M361&gt;0,N361*100/M361,0)</f>
        <v>19.172351068667577</v>
      </c>
    </row>
    <row r="362" spans="1:16" ht="18.75" x14ac:dyDescent="0.25">
      <c r="A362" s="136"/>
      <c r="B362" s="41"/>
      <c r="C362" s="41"/>
      <c r="D362" s="42" t="s">
        <v>21</v>
      </c>
      <c r="E362" s="41"/>
      <c r="F362" s="41"/>
      <c r="G362" s="43"/>
      <c r="H362" s="147" t="s">
        <v>12</v>
      </c>
      <c r="I362" s="144"/>
      <c r="J362" s="144"/>
      <c r="K362" s="145"/>
      <c r="L362" s="47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</row>
    <row r="363" spans="1:16" ht="18.75" hidden="1" x14ac:dyDescent="0.25">
      <c r="A363" s="136"/>
      <c r="B363" s="41"/>
      <c r="C363" s="41"/>
      <c r="D363" s="41"/>
      <c r="E363" s="279" t="s">
        <v>18</v>
      </c>
      <c r="F363" s="41"/>
      <c r="G363" s="43"/>
      <c r="H363" s="146" t="s">
        <v>12</v>
      </c>
      <c r="I363" s="144"/>
      <c r="J363" s="144"/>
      <c r="K363" s="145"/>
      <c r="L363" s="50">
        <v>0</v>
      </c>
      <c r="M363" s="50">
        <v>0</v>
      </c>
      <c r="N363" s="50">
        <v>0</v>
      </c>
      <c r="O363" s="50">
        <f>IF(L363&gt;0,N363*100/L363,0)</f>
        <v>0</v>
      </c>
      <c r="P363" s="50">
        <f>IF(M363&gt;0,N363*100/M363,0)</f>
        <v>0</v>
      </c>
    </row>
    <row r="364" spans="1:16" ht="18.75" x14ac:dyDescent="0.25">
      <c r="A364" s="136"/>
      <c r="B364" s="41"/>
      <c r="C364" s="41"/>
      <c r="D364" s="41"/>
      <c r="E364" s="254" t="s">
        <v>19</v>
      </c>
      <c r="F364" s="41"/>
      <c r="G364" s="43"/>
      <c r="H364" s="147" t="s">
        <v>12</v>
      </c>
      <c r="I364" s="144"/>
      <c r="J364" s="144"/>
      <c r="K364" s="145"/>
      <c r="L364" s="47">
        <f ca="1">IFERROR(__xludf.DUMMYFUNCTION("IMPORTRANGE(""https://docs.google.com/spreadsheets/d/1-uDff_7J0KD5mKrp0Vvzr7lt3OU09vwQwhkpOPPYv2Y/edit?usp=sharing"",""งบพรบ!FF20"")"),0)</f>
        <v>0</v>
      </c>
      <c r="M364" s="47">
        <f ca="1">IFERROR(__xludf.DUMMYFUNCTION("IMPORTRANGE(""https://docs.google.com/spreadsheets/d/1-uDff_7J0KD5mKrp0Vvzr7lt3OU09vwQwhkpOPPYv2Y/edit?usp=sharing"",""งบพรบ!FI20"")"),0)</f>
        <v>0</v>
      </c>
      <c r="N364" s="47">
        <f ca="1">IFERROR(__xludf.DUMMYFUNCTION("IMPORTRANGE(""https://docs.google.com/spreadsheets/d/1-uDff_7J0KD5mKrp0Vvzr7lt3OU09vwQwhkpOPPYv2Y/edit?usp=sharing"",""งบพรบ!FK20"")"),0)</f>
        <v>0</v>
      </c>
      <c r="O364" s="47">
        <f ca="1">IF(L364&gt;0,N364*100/L364,0)</f>
        <v>0</v>
      </c>
      <c r="P364" s="47">
        <f ca="1">IF(M364&gt;0,N364*100/M364,0)</f>
        <v>0</v>
      </c>
    </row>
    <row r="365" spans="1:16" ht="19.5" x14ac:dyDescent="0.3">
      <c r="A365" s="233"/>
      <c r="B365" s="234"/>
      <c r="C365" s="236"/>
      <c r="D365" s="396" t="s">
        <v>143</v>
      </c>
      <c r="E365" s="236"/>
      <c r="F365" s="236"/>
      <c r="G365" s="237"/>
      <c r="H365" s="245" t="s">
        <v>33</v>
      </c>
      <c r="I365" s="239">
        <f ca="1">I371</f>
        <v>123</v>
      </c>
      <c r="J365" s="239">
        <f ca="1">J371</f>
        <v>12</v>
      </c>
      <c r="K365" s="240">
        <f ca="1">IF(I365&gt;0,J365*100/I365,0)</f>
        <v>9.7560975609756095</v>
      </c>
      <c r="L365" s="241"/>
      <c r="M365" s="241"/>
      <c r="N365" s="241"/>
      <c r="O365" s="241"/>
      <c r="P365" s="241"/>
    </row>
    <row r="366" spans="1:16" ht="19.5" x14ac:dyDescent="0.3">
      <c r="A366" s="148"/>
      <c r="B366" s="149"/>
      <c r="C366" s="197" t="s">
        <v>16</v>
      </c>
      <c r="D366" s="395" t="s">
        <v>36</v>
      </c>
      <c r="E366" s="151"/>
      <c r="F366" s="151"/>
      <c r="G366" s="152"/>
      <c r="H366" s="153"/>
      <c r="I366" s="45"/>
      <c r="J366" s="45"/>
      <c r="K366" s="46"/>
      <c r="L366" s="145"/>
      <c r="M366" s="145"/>
      <c r="N366" s="145"/>
      <c r="O366" s="145"/>
      <c r="P366" s="145"/>
    </row>
    <row r="367" spans="1:16" ht="18.75" x14ac:dyDescent="0.25">
      <c r="A367" s="148"/>
      <c r="B367" s="155"/>
      <c r="C367" s="149"/>
      <c r="D367" s="155"/>
      <c r="E367" s="154" t="s">
        <v>144</v>
      </c>
      <c r="F367" s="155"/>
      <c r="G367" s="153"/>
      <c r="H367" s="164" t="s">
        <v>33</v>
      </c>
      <c r="I367" s="169">
        <v>0</v>
      </c>
      <c r="J367" s="169">
        <f ca="1">IFERROR(__xludf.DUMMYFUNCTION("IMPORTRANGE(""https://docs.google.com/spreadsheets/d/1tdoBKaGub7dwA3U6UFTqxio9LNnvDCQjHKmttSEBsFQ/edit?usp=sharing"",""จัดที่ดิน!AB20"")"),39)</f>
        <v>39</v>
      </c>
      <c r="K367" s="47">
        <f>IF(I367&gt;0,J367*100/I367,0)</f>
        <v>0</v>
      </c>
      <c r="L367" s="145"/>
      <c r="M367" s="145"/>
      <c r="N367" s="145"/>
      <c r="O367" s="145"/>
      <c r="P367" s="145"/>
    </row>
    <row r="368" spans="1:16" ht="18.75" x14ac:dyDescent="0.25">
      <c r="A368" s="148"/>
      <c r="B368" s="155"/>
      <c r="C368" s="149"/>
      <c r="D368" s="155"/>
      <c r="E368" s="155"/>
      <c r="F368" s="155"/>
      <c r="G368" s="153"/>
      <c r="H368" s="164" t="s">
        <v>44</v>
      </c>
      <c r="I368" s="169">
        <f ca="1">IFERROR(__xludf.DUMMYFUNCTION("IMPORTRANGE(""https://docs.google.com/spreadsheets/d/1eHaY18a8A9IcSdp1K8H6x8fbOy06t2VsZHhMHf-1x7Y/edit?usp=sharing"",""แผน!EW20"")"),1145)</f>
        <v>1145</v>
      </c>
      <c r="J368" s="351">
        <f ca="1">IFERROR(__xludf.DUMMYFUNCTION("IMPORTRANGE(""https://docs.google.com/spreadsheets/d/1tdoBKaGub7dwA3U6UFTqxio9LNnvDCQjHKmttSEBsFQ/edit?usp=sharing"",""จัดที่ดิน!AC20"")"),186.04)</f>
        <v>186.04</v>
      </c>
      <c r="K368" s="47">
        <f ca="1">IF(I368&gt;0,J368*100/I368,0)</f>
        <v>16.248034934497817</v>
      </c>
      <c r="L368" s="145"/>
      <c r="M368" s="145"/>
      <c r="N368" s="145"/>
      <c r="O368" s="145"/>
      <c r="P368" s="145"/>
    </row>
    <row r="369" spans="1:16" ht="18.75" x14ac:dyDescent="0.25">
      <c r="A369" s="148"/>
      <c r="B369" s="155"/>
      <c r="C369" s="149"/>
      <c r="D369" s="155"/>
      <c r="E369" s="154" t="s">
        <v>145</v>
      </c>
      <c r="F369" s="155"/>
      <c r="G369" s="153"/>
      <c r="H369" s="251" t="s">
        <v>33</v>
      </c>
      <c r="I369" s="169">
        <f ca="1">IFERROR(__xludf.DUMMYFUNCTION("IMPORTRANGE(""https://docs.google.com/spreadsheets/d/1eHaY18a8A9IcSdp1K8H6x8fbOy06t2VsZHhMHf-1x7Y/edit?usp=sharing"",""แผน!EX20"")"),184)</f>
        <v>184</v>
      </c>
      <c r="J369" s="169">
        <f ca="1">IFERROR(__xludf.DUMMYFUNCTION("IMPORTRANGE(""https://docs.google.com/spreadsheets/d/1tdoBKaGub7dwA3U6UFTqxio9LNnvDCQjHKmttSEBsFQ/edit?usp=sharing"",""จัดที่ดิน!AD20"")"),13)</f>
        <v>13</v>
      </c>
      <c r="K369" s="47">
        <f ca="1">IF(I369&gt;0,J369*100/I369,0)</f>
        <v>7.0652173913043477</v>
      </c>
      <c r="L369" s="145"/>
      <c r="M369" s="145"/>
      <c r="N369" s="145"/>
      <c r="O369" s="145"/>
      <c r="P369" s="145"/>
    </row>
    <row r="370" spans="1:16" ht="18.75" x14ac:dyDescent="0.25">
      <c r="A370" s="148"/>
      <c r="B370" s="155"/>
      <c r="C370" s="149"/>
      <c r="D370" s="155"/>
      <c r="E370" s="155"/>
      <c r="F370" s="155"/>
      <c r="G370" s="153"/>
      <c r="H370" s="251" t="s">
        <v>44</v>
      </c>
      <c r="I370" s="169">
        <v>0</v>
      </c>
      <c r="J370" s="351">
        <f ca="1">IFERROR(__xludf.DUMMYFUNCTION("IMPORTRANGE(""https://docs.google.com/spreadsheets/d/1tdoBKaGub7dwA3U6UFTqxio9LNnvDCQjHKmttSEBsFQ/edit?usp=sharing"",""จัดที่ดิน!AE20"")"),162.23)</f>
        <v>162.22999999999999</v>
      </c>
      <c r="K370" s="47">
        <f>IF(I370&gt;0,J370*100/I370,0)</f>
        <v>0</v>
      </c>
      <c r="L370" s="145"/>
      <c r="M370" s="145"/>
      <c r="N370" s="145"/>
      <c r="O370" s="145"/>
      <c r="P370" s="145"/>
    </row>
    <row r="371" spans="1:16" ht="18.75" x14ac:dyDescent="0.25">
      <c r="A371" s="148"/>
      <c r="B371" s="155"/>
      <c r="C371" s="149"/>
      <c r="D371" s="155"/>
      <c r="E371" s="154" t="s">
        <v>146</v>
      </c>
      <c r="F371" s="155"/>
      <c r="G371" s="153"/>
      <c r="H371" s="251" t="s">
        <v>33</v>
      </c>
      <c r="I371" s="169">
        <f ca="1">IFERROR(__xludf.DUMMYFUNCTION("IMPORTRANGE(""https://docs.google.com/spreadsheets/d/1eHaY18a8A9IcSdp1K8H6x8fbOy06t2VsZHhMHf-1x7Y/edit?usp=sharing"",""แผน!EY20"")"),123)</f>
        <v>123</v>
      </c>
      <c r="J371" s="169">
        <f ca="1">IFERROR(__xludf.DUMMYFUNCTION("IMPORTRANGE(""https://docs.google.com/spreadsheets/d/1tdoBKaGub7dwA3U6UFTqxio9LNnvDCQjHKmttSEBsFQ/edit?usp=sharing"",""จัดที่ดิน!AF20"")"),12)</f>
        <v>12</v>
      </c>
      <c r="K371" s="47">
        <f ca="1">IF(I371&gt;0,J371*100/I371,0)</f>
        <v>9.7560975609756095</v>
      </c>
      <c r="L371" s="145"/>
      <c r="M371" s="145"/>
      <c r="N371" s="145"/>
      <c r="O371" s="145"/>
      <c r="P371" s="145"/>
    </row>
    <row r="372" spans="1:16" ht="18.75" x14ac:dyDescent="0.25">
      <c r="A372" s="148"/>
      <c r="B372" s="155"/>
      <c r="C372" s="149"/>
      <c r="D372" s="155"/>
      <c r="E372" s="155"/>
      <c r="F372" s="155"/>
      <c r="G372" s="153"/>
      <c r="H372" s="251" t="s">
        <v>44</v>
      </c>
      <c r="I372" s="169">
        <v>0</v>
      </c>
      <c r="J372" s="351">
        <f ca="1">IFERROR(__xludf.DUMMYFUNCTION("IMPORTRANGE(""https://docs.google.com/spreadsheets/d/1tdoBKaGub7dwA3U6UFTqxio9LNnvDCQjHKmttSEBsFQ/edit?usp=sharing"",""จัดที่ดิน!AG20"")"),121.16)</f>
        <v>121.16</v>
      </c>
      <c r="K372" s="47">
        <f>IF(I372&gt;0,J372*100/I372,0)</f>
        <v>0</v>
      </c>
      <c r="L372" s="145"/>
      <c r="M372" s="145"/>
      <c r="N372" s="145"/>
      <c r="O372" s="145"/>
      <c r="P372" s="145"/>
    </row>
    <row r="373" spans="1:16" ht="16.5" x14ac:dyDescent="0.25">
      <c r="A373" s="2"/>
      <c r="B373" s="1"/>
      <c r="C373" s="2"/>
      <c r="D373" s="352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4"/>
      <c r="H373" s="54"/>
      <c r="I373" s="56"/>
      <c r="J373" s="56"/>
      <c r="K373" s="57"/>
      <c r="L373" s="57"/>
      <c r="M373" s="57"/>
      <c r="N373" s="57"/>
      <c r="O373" s="57"/>
      <c r="P373" s="57"/>
    </row>
    <row r="374" spans="1:16" ht="19.5" hidden="1" x14ac:dyDescent="0.3">
      <c r="A374" s="353" t="s">
        <v>147</v>
      </c>
      <c r="B374" s="354"/>
      <c r="C374" s="354"/>
      <c r="D374" s="354"/>
      <c r="E374" s="355"/>
      <c r="F374" s="355"/>
      <c r="G374" s="355"/>
      <c r="H374" s="355"/>
      <c r="I374" s="356"/>
      <c r="J374" s="356"/>
      <c r="K374" s="357"/>
      <c r="L374" s="357"/>
      <c r="M374" s="357"/>
      <c r="N374" s="357"/>
      <c r="O374" s="357"/>
      <c r="P374" s="358"/>
    </row>
    <row r="375" spans="1:16" ht="19.5" hidden="1" x14ac:dyDescent="0.3">
      <c r="A375" s="359" t="s">
        <v>148</v>
      </c>
      <c r="B375" s="360"/>
      <c r="C375" s="360"/>
      <c r="D375" s="361"/>
      <c r="E375" s="360"/>
      <c r="F375" s="360"/>
      <c r="G375" s="360"/>
      <c r="H375" s="362"/>
      <c r="I375" s="363"/>
      <c r="J375" s="363"/>
      <c r="K375" s="364"/>
      <c r="L375" s="364"/>
      <c r="M375" s="364"/>
      <c r="N375" s="364"/>
      <c r="O375" s="364"/>
      <c r="P375" s="364"/>
    </row>
    <row r="376" spans="1:16" ht="19.5" hidden="1" x14ac:dyDescent="0.3">
      <c r="A376" s="365"/>
      <c r="B376" s="366" t="s">
        <v>149</v>
      </c>
      <c r="C376" s="367"/>
      <c r="D376" s="368"/>
      <c r="E376" s="368"/>
      <c r="F376" s="368"/>
      <c r="G376" s="369"/>
      <c r="H376" s="370" t="s">
        <v>54</v>
      </c>
      <c r="I376" s="371">
        <f>I388</f>
        <v>0</v>
      </c>
      <c r="J376" s="371">
        <f>J388</f>
        <v>0</v>
      </c>
      <c r="K376" s="372">
        <f>IF(I376&gt;0,J376*100/I376,0)</f>
        <v>0</v>
      </c>
      <c r="L376" s="373"/>
      <c r="M376" s="373"/>
      <c r="N376" s="373"/>
      <c r="O376" s="373"/>
      <c r="P376" s="373"/>
    </row>
    <row r="377" spans="1:16" ht="19.5" hidden="1" x14ac:dyDescent="0.3">
      <c r="A377" s="136"/>
      <c r="B377" s="41"/>
      <c r="C377" s="260" t="s">
        <v>16</v>
      </c>
      <c r="D377" s="261" t="s">
        <v>17</v>
      </c>
      <c r="E377" s="41"/>
      <c r="F377" s="41"/>
      <c r="G377" s="43"/>
      <c r="H377" s="277" t="s">
        <v>12</v>
      </c>
      <c r="I377" s="45"/>
      <c r="J377" s="45"/>
      <c r="K377" s="46"/>
      <c r="L377" s="263">
        <f ca="1">L378+L379</f>
        <v>0</v>
      </c>
      <c r="M377" s="263">
        <f ca="1">M378+M379</f>
        <v>0</v>
      </c>
      <c r="N377" s="263">
        <f ca="1">N378+N379</f>
        <v>0</v>
      </c>
      <c r="O377" s="263">
        <f ca="1">IF(L377&gt;0,N377*100/L377,0)</f>
        <v>0</v>
      </c>
      <c r="P377" s="263">
        <f ca="1">IF(M377&gt;0,N377*100/M377,0)</f>
        <v>0</v>
      </c>
    </row>
    <row r="378" spans="1:16" ht="18.75" hidden="1" x14ac:dyDescent="0.25">
      <c r="A378" s="136"/>
      <c r="B378" s="41"/>
      <c r="C378" s="41"/>
      <c r="D378" s="41"/>
      <c r="E378" s="279" t="s">
        <v>18</v>
      </c>
      <c r="F378" s="41"/>
      <c r="G378" s="43"/>
      <c r="H378" s="141" t="s">
        <v>12</v>
      </c>
      <c r="I378" s="45"/>
      <c r="J378" s="45"/>
      <c r="K378" s="46"/>
      <c r="L378" s="50">
        <f>L381+L384</f>
        <v>0</v>
      </c>
      <c r="M378" s="50">
        <f>M381+M384</f>
        <v>0</v>
      </c>
      <c r="N378" s="50">
        <f>N381+N384</f>
        <v>0</v>
      </c>
      <c r="O378" s="50">
        <f>IF(L378&gt;0,N378*100/L378,0)</f>
        <v>0</v>
      </c>
      <c r="P378" s="50">
        <f>IF(M378&gt;0,N378*100/M378,0)</f>
        <v>0</v>
      </c>
    </row>
    <row r="379" spans="1:16" ht="18.75" hidden="1" x14ac:dyDescent="0.25">
      <c r="A379" s="136"/>
      <c r="B379" s="41"/>
      <c r="C379" s="41"/>
      <c r="D379" s="41"/>
      <c r="E379" s="279" t="s">
        <v>19</v>
      </c>
      <c r="F379" s="41"/>
      <c r="G379" s="43"/>
      <c r="H379" s="141" t="s">
        <v>12</v>
      </c>
      <c r="I379" s="45"/>
      <c r="J379" s="45"/>
      <c r="K379" s="46"/>
      <c r="L379" s="50">
        <f ca="1">L382+L385</f>
        <v>0</v>
      </c>
      <c r="M379" s="50">
        <f ca="1">M382+M385</f>
        <v>0</v>
      </c>
      <c r="N379" s="50">
        <f ca="1">N382+N385</f>
        <v>0</v>
      </c>
      <c r="O379" s="50">
        <f ca="1">IF(L379&gt;0,N379*100/L379,0)</f>
        <v>0</v>
      </c>
      <c r="P379" s="50">
        <f ca="1">IF(M379&gt;0,N379*100/M379,0)</f>
        <v>0</v>
      </c>
    </row>
    <row r="380" spans="1:16" ht="18.75" hidden="1" x14ac:dyDescent="0.25">
      <c r="A380" s="136"/>
      <c r="B380" s="41"/>
      <c r="C380" s="41"/>
      <c r="D380" s="278" t="s">
        <v>20</v>
      </c>
      <c r="E380" s="41"/>
      <c r="F380" s="41"/>
      <c r="G380" s="43"/>
      <c r="H380" s="146" t="s">
        <v>12</v>
      </c>
      <c r="I380" s="144"/>
      <c r="J380" s="144"/>
      <c r="K380" s="145"/>
      <c r="L380" s="50">
        <f ca="1">L381+L382</f>
        <v>0</v>
      </c>
      <c r="M380" s="50">
        <f ca="1">M381+M382</f>
        <v>0</v>
      </c>
      <c r="N380" s="50">
        <f ca="1">N381+N382</f>
        <v>0</v>
      </c>
      <c r="O380" s="50">
        <f ca="1">IF(L380&gt;0,N380*100/L380,0)</f>
        <v>0</v>
      </c>
      <c r="P380" s="50">
        <f ca="1">IF(M380&gt;0,N380*100/M380,0)</f>
        <v>0</v>
      </c>
    </row>
    <row r="381" spans="1:16" ht="18.75" hidden="1" x14ac:dyDescent="0.25">
      <c r="A381" s="136"/>
      <c r="B381" s="41"/>
      <c r="C381" s="41"/>
      <c r="D381" s="41"/>
      <c r="E381" s="279" t="s">
        <v>34</v>
      </c>
      <c r="F381" s="41"/>
      <c r="G381" s="43"/>
      <c r="H381" s="146" t="s">
        <v>12</v>
      </c>
      <c r="I381" s="144"/>
      <c r="J381" s="144"/>
      <c r="K381" s="145"/>
      <c r="L381" s="50">
        <v>0</v>
      </c>
      <c r="M381" s="50">
        <v>0</v>
      </c>
      <c r="N381" s="50">
        <v>0</v>
      </c>
      <c r="O381" s="50">
        <f>IF(L381&gt;0,N381*100/L381,0)</f>
        <v>0</v>
      </c>
      <c r="P381" s="50">
        <f>IF(M381&gt;0,N381*100/M381,0)</f>
        <v>0</v>
      </c>
    </row>
    <row r="382" spans="1:16" ht="18.75" hidden="1" x14ac:dyDescent="0.25">
      <c r="A382" s="136"/>
      <c r="B382" s="41"/>
      <c r="C382" s="41"/>
      <c r="D382" s="41"/>
      <c r="E382" s="279" t="s">
        <v>35</v>
      </c>
      <c r="F382" s="41"/>
      <c r="G382" s="43"/>
      <c r="H382" s="146" t="s">
        <v>12</v>
      </c>
      <c r="I382" s="144"/>
      <c r="J382" s="144"/>
      <c r="K382" s="145"/>
      <c r="L382" s="50">
        <f ca="1">IFERROR(__xludf.DUMMYFUNCTION("IMPORTRANGE(""https://docs.google.com/spreadsheets/d/1-uDff_7J0KD5mKrp0Vvzr7lt3OU09vwQwhkpOPPYv2Y/edit?usp=sharing"",""งบพรบ!FM20"")"),0)</f>
        <v>0</v>
      </c>
      <c r="M382" s="50">
        <f ca="1">IFERROR(__xludf.DUMMYFUNCTION("IMPORTRANGE(""https://docs.google.com/spreadsheets/d/1-uDff_7J0KD5mKrp0Vvzr7lt3OU09vwQwhkpOPPYv2Y/edit?usp=sharing"",""งบพรบ!FR20"")"),0)</f>
        <v>0</v>
      </c>
      <c r="N382" s="50">
        <f ca="1">IFERROR(__xludf.DUMMYFUNCTION("IMPORTRANGE(""https://docs.google.com/spreadsheets/d/1-uDff_7J0KD5mKrp0Vvzr7lt3OU09vwQwhkpOPPYv2Y/edit?usp=sharing"",""งบพรบ!FT20"")"),0)</f>
        <v>0</v>
      </c>
      <c r="O382" s="50">
        <f ca="1">IF(L382&gt;0,N382*100/L382,0)</f>
        <v>0</v>
      </c>
      <c r="P382" s="50">
        <f ca="1">IF(M382&gt;0,N382*100/M382,0)</f>
        <v>0</v>
      </c>
    </row>
    <row r="383" spans="1:16" ht="18.75" hidden="1" x14ac:dyDescent="0.25">
      <c r="A383" s="136"/>
      <c r="B383" s="41"/>
      <c r="C383" s="41"/>
      <c r="D383" s="278" t="s">
        <v>21</v>
      </c>
      <c r="E383" s="41"/>
      <c r="F383" s="41"/>
      <c r="G383" s="43"/>
      <c r="H383" s="199" t="s">
        <v>12</v>
      </c>
      <c r="I383" s="144"/>
      <c r="J383" s="144"/>
      <c r="K383" s="145"/>
      <c r="L383" s="50">
        <f ca="1">L384+L385</f>
        <v>0</v>
      </c>
      <c r="M383" s="50">
        <f ca="1">M384+M385</f>
        <v>0</v>
      </c>
      <c r="N383" s="50">
        <f ca="1">N384+N385</f>
        <v>0</v>
      </c>
      <c r="O383" s="50">
        <f ca="1">IF(L383&gt;0,N383*100/L383,0)</f>
        <v>0</v>
      </c>
      <c r="P383" s="50">
        <f ca="1">IF(M383&gt;0,N383*100/M383,0)</f>
        <v>0</v>
      </c>
    </row>
    <row r="384" spans="1:16" ht="18.75" hidden="1" x14ac:dyDescent="0.25">
      <c r="A384" s="136"/>
      <c r="B384" s="41"/>
      <c r="C384" s="41"/>
      <c r="D384" s="41"/>
      <c r="E384" s="279" t="s">
        <v>18</v>
      </c>
      <c r="F384" s="41"/>
      <c r="G384" s="43"/>
      <c r="H384" s="146" t="s">
        <v>12</v>
      </c>
      <c r="I384" s="144"/>
      <c r="J384" s="144"/>
      <c r="K384" s="145"/>
      <c r="L384" s="50">
        <v>0</v>
      </c>
      <c r="M384" s="50">
        <v>0</v>
      </c>
      <c r="N384" s="50">
        <v>0</v>
      </c>
      <c r="O384" s="50">
        <f>IF(L384&gt;0,N384*100/L384,0)</f>
        <v>0</v>
      </c>
      <c r="P384" s="50">
        <f>IF(M384&gt;0,N384*100/M384,0)</f>
        <v>0</v>
      </c>
    </row>
    <row r="385" spans="1:16" ht="18.75" hidden="1" x14ac:dyDescent="0.25">
      <c r="A385" s="136"/>
      <c r="B385" s="41"/>
      <c r="C385" s="41"/>
      <c r="D385" s="41"/>
      <c r="E385" s="279" t="s">
        <v>19</v>
      </c>
      <c r="F385" s="41"/>
      <c r="G385" s="43"/>
      <c r="H385" s="199" t="s">
        <v>12</v>
      </c>
      <c r="I385" s="144"/>
      <c r="J385" s="144"/>
      <c r="K385" s="145"/>
      <c r="L385" s="50">
        <f ca="1">IFERROR(__xludf.DUMMYFUNCTION("IMPORTRANGE(""https://docs.google.com/spreadsheets/d/1-uDff_7J0KD5mKrp0Vvzr7lt3OU09vwQwhkpOPPYv2Y/edit?usp=sharing"",""งบพรบ!FP20"")"),0)</f>
        <v>0</v>
      </c>
      <c r="M385" s="50">
        <f ca="1">IFERROR(__xludf.DUMMYFUNCTION("IMPORTRANGE(""https://docs.google.com/spreadsheets/d/1-uDff_7J0KD5mKrp0Vvzr7lt3OU09vwQwhkpOPPYv2Y/edit?usp=sharing"",""งบพรบ!FS20"")"),0)</f>
        <v>0</v>
      </c>
      <c r="N385" s="50">
        <f ca="1">IFERROR(__xludf.DUMMYFUNCTION("IMPORTRANGE(""https://docs.google.com/spreadsheets/d/1-uDff_7J0KD5mKrp0Vvzr7lt3OU09vwQwhkpOPPYv2Y/edit?usp=sharing"",""งบพรบ!FU20"")"),0)</f>
        <v>0</v>
      </c>
      <c r="O385" s="50">
        <f ca="1">IF(L385&gt;0,N385*100/L385,0)</f>
        <v>0</v>
      </c>
      <c r="P385" s="50">
        <f ca="1">IF(M385&gt;0,N385*100/M385,0)</f>
        <v>0</v>
      </c>
    </row>
    <row r="386" spans="1:16" ht="19.5" hidden="1" x14ac:dyDescent="0.3">
      <c r="A386" s="148"/>
      <c r="B386" s="149"/>
      <c r="C386" s="260" t="s">
        <v>16</v>
      </c>
      <c r="D386" s="394" t="s">
        <v>36</v>
      </c>
      <c r="E386" s="151"/>
      <c r="F386" s="151"/>
      <c r="G386" s="152"/>
      <c r="H386" s="153"/>
      <c r="I386" s="144"/>
      <c r="J386" s="45"/>
      <c r="K386" s="46"/>
      <c r="L386" s="46"/>
      <c r="M386" s="46"/>
      <c r="N386" s="46"/>
      <c r="O386" s="145"/>
      <c r="P386" s="145"/>
    </row>
    <row r="387" spans="1:16" ht="18.75" hidden="1" x14ac:dyDescent="0.25">
      <c r="A387" s="227"/>
      <c r="B387" s="41"/>
      <c r="C387" s="228"/>
      <c r="D387" s="267" t="s">
        <v>150</v>
      </c>
      <c r="E387" s="149"/>
      <c r="F387" s="41"/>
      <c r="G387" s="43"/>
      <c r="H387" s="232" t="s">
        <v>9</v>
      </c>
      <c r="I387" s="200">
        <v>0</v>
      </c>
      <c r="J387" s="201">
        <v>0</v>
      </c>
      <c r="K387" s="50">
        <f>IF(I387&gt;0,J387*100/I387,0)</f>
        <v>0</v>
      </c>
      <c r="L387" s="46"/>
      <c r="M387" s="46"/>
      <c r="N387" s="46"/>
      <c r="O387" s="46"/>
      <c r="P387" s="46"/>
    </row>
    <row r="388" spans="1:16" ht="18.75" hidden="1" x14ac:dyDescent="0.25">
      <c r="A388" s="374"/>
      <c r="B388" s="1"/>
      <c r="C388" s="2"/>
      <c r="D388" s="375" t="s">
        <v>151</v>
      </c>
      <c r="E388" s="281"/>
      <c r="F388" s="1"/>
      <c r="G388" s="54"/>
      <c r="H388" s="376" t="s">
        <v>54</v>
      </c>
      <c r="I388" s="205">
        <v>0</v>
      </c>
      <c r="J388" s="206">
        <v>0</v>
      </c>
      <c r="K388" s="207">
        <f>IF(I388&gt;0,J388*100/I388,0)</f>
        <v>0</v>
      </c>
      <c r="L388" s="57"/>
      <c r="M388" s="57"/>
      <c r="N388" s="57"/>
      <c r="O388" s="57"/>
      <c r="P388" s="57"/>
    </row>
    <row r="389" spans="1:16" ht="12.75" x14ac:dyDescent="0.2">
      <c r="A389" s="168"/>
      <c r="B389" s="168"/>
      <c r="C389" s="168"/>
      <c r="D389" s="168"/>
      <c r="E389" s="168"/>
      <c r="F389" s="168"/>
      <c r="G389" s="168"/>
      <c r="H389" s="168"/>
      <c r="I389" s="168"/>
      <c r="J389" s="168"/>
      <c r="K389" s="168"/>
      <c r="L389" s="168"/>
      <c r="M389" s="168"/>
      <c r="N389" s="168"/>
      <c r="O389" s="168"/>
      <c r="P389" s="168"/>
    </row>
    <row r="390" spans="1:16" ht="16.5" x14ac:dyDescent="0.25">
      <c r="A390" s="377" t="s">
        <v>152</v>
      </c>
      <c r="B390" s="168"/>
      <c r="C390" s="168"/>
      <c r="D390" s="168"/>
      <c r="E390" s="168"/>
      <c r="F390" s="168"/>
      <c r="G390" s="168"/>
      <c r="H390" s="168"/>
      <c r="I390" s="168"/>
      <c r="J390" s="168"/>
      <c r="K390" s="168"/>
      <c r="L390" s="168"/>
      <c r="M390" s="168"/>
      <c r="N390" s="168"/>
      <c r="O390" s="168"/>
      <c r="P390" s="168"/>
    </row>
    <row r="391" spans="1:16" ht="16.5" x14ac:dyDescent="0.25">
      <c r="A391" s="377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8"/>
      <c r="C391" s="168"/>
      <c r="D391" s="168"/>
      <c r="E391" s="168"/>
      <c r="F391" s="168"/>
      <c r="G391" s="168"/>
      <c r="H391" s="168"/>
      <c r="I391" s="168"/>
      <c r="J391" s="168"/>
      <c r="K391" s="168"/>
      <c r="L391" s="168"/>
      <c r="M391" s="168"/>
      <c r="N391" s="168"/>
      <c r="O391" s="168"/>
      <c r="P391" s="16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2" orientation="portrait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5F133-B29E-4C89-8204-681E3C47D091}">
  <sheetPr>
    <outlinePr summaryBelow="0" summaryRight="0"/>
  </sheetPr>
  <dimension ref="A1:P391"/>
  <sheetViews>
    <sheetView view="pageBreakPreview" zoomScale="60" zoomScaleNormal="68" workbookViewId="0">
      <pane xSplit="8" ySplit="6" topLeftCell="I7" activePane="bottomRight" state="frozen"/>
      <selection activeCell="P44" sqref="P44"/>
      <selection pane="topRight" activeCell="P44" sqref="P44"/>
      <selection pane="bottomLeft" activeCell="P44" sqref="P44"/>
      <selection pane="bottomRight" activeCell="P44" sqref="P4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3" width="21.5703125" bestFit="1" customWidth="1"/>
    <col min="14" max="14" width="19" bestFit="1" customWidth="1"/>
    <col min="15" max="15" width="17.5703125" customWidth="1"/>
    <col min="16" max="16" width="22.42578125" bestFit="1" customWidth="1"/>
  </cols>
  <sheetData>
    <row r="1" spans="1:16" ht="19.5" x14ac:dyDescent="0.3">
      <c r="A1" s="386" t="s">
        <v>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</row>
    <row r="2" spans="1:16" ht="19.5" x14ac:dyDescent="0.3">
      <c r="A2" s="386" t="s">
        <v>164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</row>
    <row r="3" spans="1:16" ht="19.5" x14ac:dyDescent="0.3">
      <c r="A3" s="386" t="s">
        <v>175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388" t="s">
        <v>2</v>
      </c>
      <c r="B5" s="387"/>
      <c r="C5" s="387"/>
      <c r="D5" s="387"/>
      <c r="E5" s="387"/>
      <c r="F5" s="387"/>
      <c r="G5" s="389"/>
      <c r="H5" s="4" t="s">
        <v>3</v>
      </c>
      <c r="I5" s="391" t="s">
        <v>4</v>
      </c>
      <c r="J5" s="379"/>
      <c r="K5" s="380"/>
      <c r="L5" s="392" t="s">
        <v>5</v>
      </c>
      <c r="M5" s="380"/>
      <c r="N5" s="393" t="s">
        <v>6</v>
      </c>
      <c r="O5" s="379"/>
      <c r="P5" s="380"/>
    </row>
    <row r="6" spans="1:16" ht="19.5" x14ac:dyDescent="0.3">
      <c r="A6" s="390"/>
      <c r="B6" s="379"/>
      <c r="C6" s="379"/>
      <c r="D6" s="379"/>
      <c r="E6" s="379"/>
      <c r="F6" s="379"/>
      <c r="G6" s="380"/>
      <c r="H6" s="5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466" t="s">
        <v>14</v>
      </c>
    </row>
    <row r="7" spans="1:16" ht="12.75" hidden="1" x14ac:dyDescent="0.2">
      <c r="A7" s="381"/>
      <c r="B7" s="379"/>
      <c r="C7" s="379"/>
      <c r="D7" s="379"/>
      <c r="E7" s="379"/>
      <c r="F7" s="379"/>
      <c r="G7" s="380"/>
      <c r="H7" s="12"/>
      <c r="I7" s="13"/>
      <c r="J7" s="13"/>
      <c r="K7" s="14"/>
      <c r="L7" s="14"/>
      <c r="M7" s="14"/>
      <c r="N7" s="14"/>
      <c r="O7" s="14"/>
      <c r="P7" s="14"/>
    </row>
    <row r="8" spans="1:16" ht="12.75" hidden="1" x14ac:dyDescent="0.2">
      <c r="A8" s="15"/>
      <c r="B8" s="16"/>
      <c r="C8" s="16"/>
      <c r="D8" s="16"/>
      <c r="E8" s="16"/>
      <c r="F8" s="16"/>
      <c r="G8" s="17"/>
      <c r="H8" s="17"/>
      <c r="I8" s="18"/>
      <c r="J8" s="18"/>
      <c r="K8" s="19"/>
      <c r="L8" s="19"/>
      <c r="M8" s="19"/>
      <c r="N8" s="19"/>
      <c r="O8" s="19"/>
      <c r="P8" s="19"/>
    </row>
    <row r="9" spans="1:16" ht="12.75" hidden="1" x14ac:dyDescent="0.2">
      <c r="A9" s="15"/>
      <c r="B9" s="16"/>
      <c r="C9" s="16"/>
      <c r="D9" s="16"/>
      <c r="E9" s="16"/>
      <c r="F9" s="16"/>
      <c r="G9" s="17"/>
      <c r="H9" s="17"/>
      <c r="I9" s="18"/>
      <c r="J9" s="18"/>
      <c r="K9" s="19"/>
      <c r="L9" s="19"/>
      <c r="M9" s="19"/>
      <c r="N9" s="19"/>
      <c r="O9" s="19"/>
      <c r="P9" s="19"/>
    </row>
    <row r="10" spans="1:16" ht="12.75" hidden="1" x14ac:dyDescent="0.2">
      <c r="A10" s="15"/>
      <c r="B10" s="16"/>
      <c r="C10" s="16"/>
      <c r="D10" s="16"/>
      <c r="E10" s="16"/>
      <c r="F10" s="16"/>
      <c r="G10" s="17"/>
      <c r="H10" s="17"/>
      <c r="I10" s="18"/>
      <c r="J10" s="18"/>
      <c r="K10" s="19"/>
      <c r="L10" s="19"/>
      <c r="M10" s="19"/>
      <c r="N10" s="19"/>
      <c r="O10" s="19"/>
      <c r="P10" s="19"/>
    </row>
    <row r="11" spans="1:16" ht="12.75" hidden="1" x14ac:dyDescent="0.2">
      <c r="A11" s="15"/>
      <c r="B11" s="16"/>
      <c r="C11" s="16"/>
      <c r="D11" s="16"/>
      <c r="E11" s="16"/>
      <c r="F11" s="16"/>
      <c r="G11" s="17"/>
      <c r="H11" s="17"/>
      <c r="I11" s="18"/>
      <c r="J11" s="18"/>
      <c r="K11" s="19"/>
      <c r="L11" s="19"/>
      <c r="M11" s="19"/>
      <c r="N11" s="19"/>
      <c r="O11" s="19"/>
      <c r="P11" s="19"/>
    </row>
    <row r="12" spans="1:16" ht="12.75" hidden="1" x14ac:dyDescent="0.2">
      <c r="A12" s="15"/>
      <c r="B12" s="16"/>
      <c r="C12" s="16"/>
      <c r="D12" s="16"/>
      <c r="E12" s="16"/>
      <c r="F12" s="16"/>
      <c r="G12" s="17"/>
      <c r="H12" s="17"/>
      <c r="I12" s="18"/>
      <c r="J12" s="18"/>
      <c r="K12" s="19"/>
      <c r="L12" s="19"/>
      <c r="M12" s="19"/>
      <c r="N12" s="19"/>
      <c r="O12" s="19"/>
      <c r="P12" s="19"/>
    </row>
    <row r="13" spans="1:16" ht="12.75" hidden="1" x14ac:dyDescent="0.2">
      <c r="A13" s="15"/>
      <c r="B13" s="16"/>
      <c r="C13" s="16"/>
      <c r="D13" s="16"/>
      <c r="E13" s="16"/>
      <c r="F13" s="16"/>
      <c r="G13" s="17"/>
      <c r="H13" s="17"/>
      <c r="I13" s="18"/>
      <c r="J13" s="18"/>
      <c r="K13" s="19"/>
      <c r="L13" s="19"/>
      <c r="M13" s="19"/>
      <c r="N13" s="19"/>
      <c r="O13" s="19"/>
      <c r="P13" s="19"/>
    </row>
    <row r="14" spans="1:16" ht="12.75" hidden="1" x14ac:dyDescent="0.2">
      <c r="A14" s="15"/>
      <c r="B14" s="16"/>
      <c r="C14" s="16"/>
      <c r="D14" s="16"/>
      <c r="E14" s="16"/>
      <c r="F14" s="16"/>
      <c r="G14" s="17"/>
      <c r="H14" s="17"/>
      <c r="I14" s="18"/>
      <c r="J14" s="18"/>
      <c r="K14" s="19"/>
      <c r="L14" s="19"/>
      <c r="M14" s="19"/>
      <c r="N14" s="19"/>
      <c r="O14" s="19"/>
      <c r="P14" s="19"/>
    </row>
    <row r="15" spans="1:16" ht="12.75" hidden="1" x14ac:dyDescent="0.2">
      <c r="A15" s="15"/>
      <c r="B15" s="16"/>
      <c r="C15" s="16"/>
      <c r="D15" s="16"/>
      <c r="E15" s="16"/>
      <c r="F15" s="16"/>
      <c r="G15" s="17"/>
      <c r="H15" s="17"/>
      <c r="I15" s="18"/>
      <c r="J15" s="18"/>
      <c r="K15" s="19"/>
      <c r="L15" s="19"/>
      <c r="M15" s="19"/>
      <c r="N15" s="19"/>
      <c r="O15" s="19"/>
      <c r="P15" s="19"/>
    </row>
    <row r="16" spans="1:16" ht="12.75" hidden="1" x14ac:dyDescent="0.2">
      <c r="A16" s="20"/>
      <c r="B16" s="21"/>
      <c r="C16" s="21"/>
      <c r="D16" s="21"/>
      <c r="E16" s="21"/>
      <c r="F16" s="21"/>
      <c r="G16" s="12"/>
      <c r="H16" s="12"/>
      <c r="I16" s="13"/>
      <c r="J16" s="13"/>
      <c r="K16" s="14"/>
      <c r="L16" s="14"/>
      <c r="M16" s="14"/>
      <c r="N16" s="14"/>
      <c r="O16" s="14"/>
      <c r="P16" s="14"/>
    </row>
    <row r="17" spans="1:16" ht="19.5" x14ac:dyDescent="0.3">
      <c r="A17" s="378" t="s">
        <v>15</v>
      </c>
      <c r="B17" s="379"/>
      <c r="C17" s="379"/>
      <c r="D17" s="379"/>
      <c r="E17" s="379"/>
      <c r="F17" s="379"/>
      <c r="G17" s="380"/>
      <c r="H17" s="22"/>
      <c r="I17" s="23"/>
      <c r="J17" s="23"/>
      <c r="K17" s="24"/>
      <c r="L17" s="24"/>
      <c r="M17" s="24"/>
      <c r="N17" s="24"/>
      <c r="O17" s="24"/>
      <c r="P17" s="24"/>
    </row>
    <row r="18" spans="1:16" ht="19.5" x14ac:dyDescent="0.3">
      <c r="A18" s="25"/>
      <c r="B18" s="26"/>
      <c r="C18" s="132" t="s">
        <v>16</v>
      </c>
      <c r="D18" s="28" t="s">
        <v>17</v>
      </c>
      <c r="E18" s="26"/>
      <c r="F18" s="26"/>
      <c r="G18" s="29"/>
      <c r="H18" s="30" t="s">
        <v>12</v>
      </c>
      <c r="I18" s="31"/>
      <c r="J18" s="31"/>
      <c r="K18" s="32"/>
      <c r="L18" s="33">
        <f ca="1">L19+L20</f>
        <v>1752295</v>
      </c>
      <c r="M18" s="33">
        <f ca="1">M19+M20</f>
        <v>1425555</v>
      </c>
      <c r="N18" s="33">
        <f ca="1">N19+N20</f>
        <v>443244.03</v>
      </c>
      <c r="O18" s="33">
        <f ca="1">IF(L18&gt;0,N18*100/L18,0)</f>
        <v>25.295057624429678</v>
      </c>
      <c r="P18" s="33">
        <f ca="1">IF(M18&gt;0,N18*100/M18,0)</f>
        <v>31.092734408703979</v>
      </c>
    </row>
    <row r="19" spans="1:16" ht="18.75" hidden="1" x14ac:dyDescent="0.25">
      <c r="A19" s="25"/>
      <c r="B19" s="26"/>
      <c r="C19" s="26"/>
      <c r="D19" s="26"/>
      <c r="E19" s="34" t="s">
        <v>18</v>
      </c>
      <c r="F19" s="26"/>
      <c r="G19" s="29"/>
      <c r="H19" s="35" t="s">
        <v>12</v>
      </c>
      <c r="I19" s="31"/>
      <c r="J19" s="31"/>
      <c r="K19" s="32"/>
      <c r="L19" s="36">
        <f>L22+L25</f>
        <v>0</v>
      </c>
      <c r="M19" s="36">
        <f>M22+M25</f>
        <v>0</v>
      </c>
      <c r="N19" s="36">
        <f>N22+N25</f>
        <v>0</v>
      </c>
      <c r="O19" s="36">
        <f>IF(L19&gt;0,N19*100/L19,0)</f>
        <v>0</v>
      </c>
      <c r="P19" s="36">
        <f>IF(M19&gt;0,N19*100/M19,0)</f>
        <v>0</v>
      </c>
    </row>
    <row r="20" spans="1:16" ht="18.75" x14ac:dyDescent="0.25">
      <c r="A20" s="25"/>
      <c r="B20" s="26"/>
      <c r="C20" s="26"/>
      <c r="D20" s="26"/>
      <c r="E20" s="37" t="s">
        <v>19</v>
      </c>
      <c r="F20" s="26"/>
      <c r="G20" s="29"/>
      <c r="H20" s="38" t="s">
        <v>12</v>
      </c>
      <c r="I20" s="31"/>
      <c r="J20" s="31"/>
      <c r="K20" s="32"/>
      <c r="L20" s="39">
        <f ca="1">L23+L26</f>
        <v>1752295</v>
      </c>
      <c r="M20" s="39">
        <f ca="1">M23+M26</f>
        <v>1425555</v>
      </c>
      <c r="N20" s="39">
        <f ca="1">N23+N26</f>
        <v>443244.03</v>
      </c>
      <c r="O20" s="39">
        <f ca="1">IF(L20&gt;0,N20*100/L20,0)</f>
        <v>25.295057624429678</v>
      </c>
      <c r="P20" s="39">
        <f ca="1">IF(M20&gt;0,N20*100/M20,0)</f>
        <v>31.092734408703979</v>
      </c>
    </row>
    <row r="21" spans="1:16" ht="18.75" x14ac:dyDescent="0.25">
      <c r="A21" s="40"/>
      <c r="B21" s="41"/>
      <c r="C21" s="41"/>
      <c r="D21" s="42" t="s">
        <v>20</v>
      </c>
      <c r="E21" s="41"/>
      <c r="F21" s="41"/>
      <c r="G21" s="43"/>
      <c r="H21" s="44" t="s">
        <v>12</v>
      </c>
      <c r="I21" s="45"/>
      <c r="J21" s="45"/>
      <c r="K21" s="46"/>
      <c r="L21" s="47">
        <f ca="1">L22+L23</f>
        <v>1752295</v>
      </c>
      <c r="M21" s="47">
        <f ca="1">M22+M23</f>
        <v>1425555</v>
      </c>
      <c r="N21" s="47">
        <f ca="1">N22+N23</f>
        <v>443244.03</v>
      </c>
      <c r="O21" s="47">
        <f ca="1">IF(L21&gt;0,N21*100/L21,0)</f>
        <v>25.295057624429678</v>
      </c>
      <c r="P21" s="47">
        <f ca="1">IF(M21&gt;0,N21*100/M21,0)</f>
        <v>31.092734408703979</v>
      </c>
    </row>
    <row r="22" spans="1:16" ht="18.75" hidden="1" x14ac:dyDescent="0.25">
      <c r="A22" s="40"/>
      <c r="B22" s="41"/>
      <c r="C22" s="41"/>
      <c r="D22" s="41"/>
      <c r="E22" s="279" t="s">
        <v>18</v>
      </c>
      <c r="F22" s="41"/>
      <c r="G22" s="43"/>
      <c r="H22" s="49" t="s">
        <v>12</v>
      </c>
      <c r="I22" s="45"/>
      <c r="J22" s="45"/>
      <c r="K22" s="46"/>
      <c r="L22" s="50">
        <f>L48+L63+L76+L98+L129+L143+L161+L190+L177+L270+L286+L307+L324+L337+L360+L381</f>
        <v>0</v>
      </c>
      <c r="M22" s="50">
        <f>M48+M63+M76+M98+M129+M143+M161+M190+M177+M270+M286+M307+M324+M337+M360+M381</f>
        <v>0</v>
      </c>
      <c r="N22" s="50">
        <f>N48+N63+N76+N98+N129+N143+N161+N190+N177+N270+N286+N307+N324+N337+N360+N381</f>
        <v>0</v>
      </c>
      <c r="O22" s="50">
        <f>IF(L22&gt;0,N22*100/L22,0)</f>
        <v>0</v>
      </c>
      <c r="P22" s="50">
        <f>IF(M22&gt;0,N22*100/M22,0)</f>
        <v>0</v>
      </c>
    </row>
    <row r="23" spans="1:16" ht="18.75" x14ac:dyDescent="0.25">
      <c r="A23" s="40"/>
      <c r="B23" s="41"/>
      <c r="C23" s="41"/>
      <c r="D23" s="41"/>
      <c r="E23" s="254" t="s">
        <v>19</v>
      </c>
      <c r="F23" s="41"/>
      <c r="G23" s="43"/>
      <c r="H23" s="44" t="s">
        <v>12</v>
      </c>
      <c r="I23" s="45"/>
      <c r="J23" s="45"/>
      <c r="K23" s="46"/>
      <c r="L23" s="47">
        <f ca="1">L49+L64+L77+L99+L130+L144+L162+L191+L178+L271+L287+L308+L325+L338+L361+L382</f>
        <v>1752295</v>
      </c>
      <c r="M23" s="47">
        <f ca="1">M49+M64+M77+M99+M130+M144+M162+M191+M178+M271+M287+M308+M325+M338+M361+M382</f>
        <v>1425555</v>
      </c>
      <c r="N23" s="47">
        <f ca="1">N49+N64+N77+N99+N130+N144+N162+N191+N178+N271+N287+N308+N325+N338+N361+N382</f>
        <v>443244.03</v>
      </c>
      <c r="O23" s="47">
        <f ca="1">IF(L23&gt;0,N23*100/L23,0)</f>
        <v>25.295057624429678</v>
      </c>
      <c r="P23" s="47">
        <f ca="1">IF(M23&gt;0,N23*100/M23,0)</f>
        <v>31.092734408703979</v>
      </c>
    </row>
    <row r="24" spans="1:16" ht="18.75" x14ac:dyDescent="0.25">
      <c r="A24" s="40"/>
      <c r="B24" s="41"/>
      <c r="C24" s="41"/>
      <c r="D24" s="42" t="s">
        <v>21</v>
      </c>
      <c r="E24" s="41"/>
      <c r="F24" s="41"/>
      <c r="G24" s="43"/>
      <c r="H24" s="44" t="s">
        <v>12</v>
      </c>
      <c r="I24" s="45"/>
      <c r="J24" s="45"/>
      <c r="K24" s="46"/>
      <c r="L24" s="47">
        <f ca="1">L25+L26</f>
        <v>0</v>
      </c>
      <c r="M24" s="47">
        <f ca="1">M25+M26</f>
        <v>0</v>
      </c>
      <c r="N24" s="47">
        <f ca="1">N25+N26</f>
        <v>0</v>
      </c>
      <c r="O24" s="47">
        <f ca="1">IF(L24&gt;0,N24*100/L24,0)</f>
        <v>0</v>
      </c>
      <c r="P24" s="47">
        <f ca="1">IF(M24&gt;0,N24*100/M24,0)</f>
        <v>0</v>
      </c>
    </row>
    <row r="25" spans="1:16" ht="18.75" hidden="1" x14ac:dyDescent="0.25">
      <c r="A25" s="40"/>
      <c r="B25" s="41"/>
      <c r="C25" s="41"/>
      <c r="D25" s="41"/>
      <c r="E25" s="279" t="s">
        <v>18</v>
      </c>
      <c r="F25" s="41"/>
      <c r="G25" s="43"/>
      <c r="H25" s="49" t="s">
        <v>12</v>
      </c>
      <c r="I25" s="45"/>
      <c r="J25" s="45"/>
      <c r="K25" s="46"/>
      <c r="L25" s="50">
        <f>L51+L66+L79+L101+L132+L146+L164+L193+L180+L273+L289+L310+L327+L340+L363+L384</f>
        <v>0</v>
      </c>
      <c r="M25" s="50">
        <f>M51+M66+M79+M101+M132+M146+M164+M193+M180+M273+M289+M310+M327+M340+M363+M384</f>
        <v>0</v>
      </c>
      <c r="N25" s="50">
        <f>N51+N66+N79+N101+N132+N146+N164+N193+N180+N273+N289+N310+N327+N340+N363+N384</f>
        <v>0</v>
      </c>
      <c r="O25" s="50">
        <f>IF(L25&gt;0,N25*100/L25,0)</f>
        <v>0</v>
      </c>
      <c r="P25" s="50">
        <f>IF(M25&gt;0,N25*100/M25,0)</f>
        <v>0</v>
      </c>
    </row>
    <row r="26" spans="1:16" ht="18.75" x14ac:dyDescent="0.25">
      <c r="A26" s="40"/>
      <c r="B26" s="41"/>
      <c r="C26" s="41"/>
      <c r="D26" s="41"/>
      <c r="E26" s="254" t="s">
        <v>19</v>
      </c>
      <c r="F26" s="41"/>
      <c r="G26" s="43"/>
      <c r="H26" s="44" t="s">
        <v>12</v>
      </c>
      <c r="I26" s="45"/>
      <c r="J26" s="45"/>
      <c r="K26" s="46"/>
      <c r="L26" s="47">
        <f ca="1">L52+L67+L80+L102+L133+L147+L165+L194+L181+L274+L290+L311+L328+L341+L364+L385</f>
        <v>0</v>
      </c>
      <c r="M26" s="47">
        <f ca="1">M52+M67+M80+M102+M133+M147+M165+M194+M181+M274+M290+M311+M328+M341+M364+M385</f>
        <v>0</v>
      </c>
      <c r="N26" s="47">
        <f ca="1">N52+N67+N80+N102+N133+N147+N165+N194+N181+N274+N290+N311+N328+N341+N364+N385</f>
        <v>0</v>
      </c>
      <c r="O26" s="47">
        <f ca="1">IF(L26&gt;0,N26*100/L26,0)</f>
        <v>0</v>
      </c>
      <c r="P26" s="47">
        <f ca="1">IF(M26&gt;0,N26*100/M26,0)</f>
        <v>0</v>
      </c>
    </row>
    <row r="27" spans="1:16" ht="18.75" hidden="1" x14ac:dyDescent="0.25">
      <c r="A27" s="40"/>
      <c r="B27" s="41"/>
      <c r="C27" s="41"/>
      <c r="D27" s="42" t="s">
        <v>22</v>
      </c>
      <c r="E27" s="41"/>
      <c r="F27" s="41"/>
      <c r="G27" s="43"/>
      <c r="H27" s="44" t="s">
        <v>12</v>
      </c>
      <c r="I27" s="45"/>
      <c r="J27" s="45"/>
      <c r="K27" s="46"/>
      <c r="L27" s="47"/>
      <c r="M27" s="47"/>
      <c r="N27" s="47"/>
      <c r="O27" s="47"/>
      <c r="P27" s="47"/>
    </row>
    <row r="28" spans="1:16" ht="18.75" hidden="1" x14ac:dyDescent="0.25">
      <c r="A28" s="40"/>
      <c r="B28" s="41"/>
      <c r="C28" s="41"/>
      <c r="D28" s="41"/>
      <c r="E28" s="279" t="s">
        <v>18</v>
      </c>
      <c r="F28" s="41"/>
      <c r="G28" s="43"/>
      <c r="H28" s="49" t="s">
        <v>12</v>
      </c>
      <c r="I28" s="45"/>
      <c r="J28" s="45"/>
      <c r="K28" s="46"/>
      <c r="L28" s="50"/>
      <c r="M28" s="50"/>
      <c r="N28" s="50"/>
      <c r="O28" s="50"/>
      <c r="P28" s="50"/>
    </row>
    <row r="29" spans="1:16" ht="18.75" hidden="1" x14ac:dyDescent="0.25">
      <c r="A29" s="52"/>
      <c r="B29" s="1"/>
      <c r="C29" s="1"/>
      <c r="D29" s="1"/>
      <c r="E29" s="53" t="s">
        <v>19</v>
      </c>
      <c r="F29" s="1"/>
      <c r="G29" s="54"/>
      <c r="H29" s="55" t="s">
        <v>12</v>
      </c>
      <c r="I29" s="56"/>
      <c r="J29" s="56"/>
      <c r="K29" s="57"/>
      <c r="L29" s="58"/>
      <c r="M29" s="58"/>
      <c r="N29" s="58"/>
      <c r="O29" s="58"/>
      <c r="P29" s="58"/>
    </row>
    <row r="30" spans="1:16" ht="12.75" hidden="1" x14ac:dyDescent="0.2">
      <c r="A30" s="381"/>
      <c r="B30" s="379"/>
      <c r="C30" s="379"/>
      <c r="D30" s="379"/>
      <c r="E30" s="379"/>
      <c r="F30" s="379"/>
      <c r="G30" s="380"/>
      <c r="H30" s="12"/>
      <c r="I30" s="13"/>
      <c r="J30" s="13"/>
      <c r="K30" s="14"/>
      <c r="L30" s="14"/>
      <c r="M30" s="14"/>
      <c r="N30" s="14"/>
      <c r="O30" s="14"/>
      <c r="P30" s="14"/>
    </row>
    <row r="31" spans="1:16" ht="12.75" hidden="1" x14ac:dyDescent="0.2">
      <c r="A31" s="15"/>
      <c r="B31" s="16"/>
      <c r="C31" s="16"/>
      <c r="D31" s="16"/>
      <c r="E31" s="16"/>
      <c r="F31" s="16"/>
      <c r="G31" s="17"/>
      <c r="H31" s="17"/>
      <c r="I31" s="18"/>
      <c r="J31" s="18"/>
      <c r="K31" s="19"/>
      <c r="L31" s="19"/>
      <c r="M31" s="19"/>
      <c r="N31" s="19"/>
      <c r="O31" s="19"/>
      <c r="P31" s="19"/>
    </row>
    <row r="32" spans="1:16" ht="12.75" hidden="1" x14ac:dyDescent="0.2">
      <c r="A32" s="15"/>
      <c r="B32" s="16"/>
      <c r="C32" s="16"/>
      <c r="D32" s="16"/>
      <c r="E32" s="16"/>
      <c r="F32" s="16"/>
      <c r="G32" s="17"/>
      <c r="H32" s="17"/>
      <c r="I32" s="18"/>
      <c r="J32" s="18"/>
      <c r="K32" s="19"/>
      <c r="L32" s="19"/>
      <c r="M32" s="19"/>
      <c r="N32" s="19"/>
      <c r="O32" s="19"/>
      <c r="P32" s="19"/>
    </row>
    <row r="33" spans="1:16" ht="12.75" hidden="1" x14ac:dyDescent="0.2">
      <c r="A33" s="15"/>
      <c r="B33" s="16"/>
      <c r="C33" s="16"/>
      <c r="D33" s="16"/>
      <c r="E33" s="16"/>
      <c r="F33" s="16"/>
      <c r="G33" s="17"/>
      <c r="H33" s="17"/>
      <c r="I33" s="18"/>
      <c r="J33" s="18"/>
      <c r="K33" s="19"/>
      <c r="L33" s="19"/>
      <c r="M33" s="19"/>
      <c r="N33" s="19"/>
      <c r="O33" s="19"/>
      <c r="P33" s="19"/>
    </row>
    <row r="34" spans="1:16" ht="12.75" hidden="1" x14ac:dyDescent="0.2">
      <c r="A34" s="15"/>
      <c r="B34" s="16"/>
      <c r="C34" s="16"/>
      <c r="D34" s="16"/>
      <c r="E34" s="16"/>
      <c r="F34" s="16"/>
      <c r="G34" s="17"/>
      <c r="H34" s="17"/>
      <c r="I34" s="18"/>
      <c r="J34" s="18"/>
      <c r="K34" s="19"/>
      <c r="L34" s="19"/>
      <c r="M34" s="19"/>
      <c r="N34" s="19"/>
      <c r="O34" s="19"/>
      <c r="P34" s="19"/>
    </row>
    <row r="35" spans="1:16" ht="12.75" hidden="1" x14ac:dyDescent="0.2">
      <c r="A35" s="15"/>
      <c r="B35" s="16"/>
      <c r="C35" s="16"/>
      <c r="D35" s="16"/>
      <c r="E35" s="16"/>
      <c r="F35" s="16"/>
      <c r="G35" s="17"/>
      <c r="H35" s="17"/>
      <c r="I35" s="18"/>
      <c r="J35" s="18"/>
      <c r="K35" s="19"/>
      <c r="L35" s="19"/>
      <c r="M35" s="19"/>
      <c r="N35" s="19"/>
      <c r="O35" s="19"/>
      <c r="P35" s="19"/>
    </row>
    <row r="36" spans="1:16" ht="12.75" hidden="1" x14ac:dyDescent="0.2">
      <c r="A36" s="15"/>
      <c r="B36" s="16"/>
      <c r="C36" s="16"/>
      <c r="D36" s="16"/>
      <c r="E36" s="16"/>
      <c r="F36" s="16"/>
      <c r="G36" s="17"/>
      <c r="H36" s="17"/>
      <c r="I36" s="18"/>
      <c r="J36" s="18"/>
      <c r="K36" s="19"/>
      <c r="L36" s="19"/>
      <c r="M36" s="19"/>
      <c r="N36" s="19"/>
      <c r="O36" s="19"/>
      <c r="P36" s="19"/>
    </row>
    <row r="37" spans="1:16" ht="12.75" hidden="1" x14ac:dyDescent="0.2">
      <c r="A37" s="15"/>
      <c r="B37" s="16"/>
      <c r="C37" s="16"/>
      <c r="D37" s="16"/>
      <c r="E37" s="16"/>
      <c r="F37" s="16"/>
      <c r="G37" s="17"/>
      <c r="H37" s="17"/>
      <c r="I37" s="18"/>
      <c r="J37" s="18"/>
      <c r="K37" s="19"/>
      <c r="L37" s="19"/>
      <c r="M37" s="19"/>
      <c r="N37" s="19"/>
      <c r="O37" s="19"/>
      <c r="P37" s="19"/>
    </row>
    <row r="38" spans="1:16" ht="12.75" hidden="1" x14ac:dyDescent="0.2">
      <c r="A38" s="15"/>
      <c r="B38" s="16"/>
      <c r="C38" s="16"/>
      <c r="D38" s="16"/>
      <c r="E38" s="16"/>
      <c r="F38" s="16"/>
      <c r="G38" s="17"/>
      <c r="H38" s="17"/>
      <c r="I38" s="18"/>
      <c r="J38" s="18"/>
      <c r="K38" s="19"/>
      <c r="L38" s="19"/>
      <c r="M38" s="19"/>
      <c r="N38" s="19"/>
      <c r="O38" s="19"/>
      <c r="P38" s="19"/>
    </row>
    <row r="39" spans="1:16" ht="12.75" hidden="1" x14ac:dyDescent="0.2">
      <c r="A39" s="20"/>
      <c r="B39" s="21"/>
      <c r="C39" s="21"/>
      <c r="D39" s="21"/>
      <c r="E39" s="21"/>
      <c r="F39" s="21"/>
      <c r="G39" s="12"/>
      <c r="H39" s="12"/>
      <c r="I39" s="13"/>
      <c r="J39" s="13"/>
      <c r="K39" s="14"/>
      <c r="L39" s="14"/>
      <c r="M39" s="14"/>
      <c r="N39" s="14"/>
      <c r="O39" s="14"/>
      <c r="P39" s="14"/>
    </row>
    <row r="40" spans="1:16" ht="19.5" hidden="1" x14ac:dyDescent="0.3">
      <c r="A40" s="59" t="s">
        <v>23</v>
      </c>
      <c r="B40" s="60"/>
      <c r="C40" s="60"/>
      <c r="D40" s="60"/>
      <c r="E40" s="60"/>
      <c r="F40" s="60"/>
      <c r="G40" s="61"/>
      <c r="H40" s="61"/>
      <c r="I40" s="62"/>
      <c r="J40" s="62"/>
      <c r="K40" s="63"/>
      <c r="L40" s="64">
        <f ca="1">L44+L59+L72+L94+L125+L139+L157+L173+L186+L266+L282+L303+L320+L333+L356</f>
        <v>1752295</v>
      </c>
      <c r="M40" s="64">
        <f ca="1">M44+M59+M72+M94+M125+M139+M157+M173+M186+M266+M282+M303+M320+M333+M356</f>
        <v>1425555</v>
      </c>
      <c r="N40" s="64">
        <f ca="1">N44+N59+N72+N94+N125+N139+N157+N173+N186+N266+N282+N303+N320+N333+N356</f>
        <v>443244.03</v>
      </c>
      <c r="O40" s="64">
        <f ca="1">IF(L40&gt;0,N40*100/L40,0)</f>
        <v>25.295057624429678</v>
      </c>
      <c r="P40" s="64">
        <f ca="1">IF(M40&gt;0,N40*100/M40,0)</f>
        <v>31.092734408703979</v>
      </c>
    </row>
    <row r="41" spans="1:16" ht="19.5" x14ac:dyDescent="0.3">
      <c r="A41" s="65" t="s">
        <v>24</v>
      </c>
      <c r="B41" s="66"/>
      <c r="C41" s="66"/>
      <c r="D41" s="66"/>
      <c r="E41" s="66"/>
      <c r="F41" s="66"/>
      <c r="G41" s="66"/>
      <c r="H41" s="66"/>
      <c r="I41" s="67"/>
      <c r="J41" s="67"/>
      <c r="K41" s="68"/>
      <c r="L41" s="68"/>
      <c r="M41" s="68"/>
      <c r="N41" s="68"/>
      <c r="O41" s="68"/>
      <c r="P41" s="69"/>
    </row>
    <row r="42" spans="1:16" ht="19.5" x14ac:dyDescent="0.3">
      <c r="A42" s="70"/>
      <c r="B42" s="71" t="s">
        <v>25</v>
      </c>
      <c r="C42" s="70"/>
      <c r="D42" s="70"/>
      <c r="E42" s="70"/>
      <c r="F42" s="70"/>
      <c r="G42" s="72"/>
      <c r="H42" s="72"/>
      <c r="I42" s="73"/>
      <c r="J42" s="73"/>
      <c r="K42" s="74"/>
      <c r="L42" s="74"/>
      <c r="M42" s="74"/>
      <c r="N42" s="74"/>
      <c r="O42" s="74"/>
      <c r="P42" s="74"/>
    </row>
    <row r="43" spans="1:16" ht="12.75" hidden="1" x14ac:dyDescent="0.2">
      <c r="A43" s="15"/>
      <c r="B43" s="16"/>
      <c r="C43" s="16"/>
      <c r="D43" s="16"/>
      <c r="E43" s="16"/>
      <c r="F43" s="16"/>
      <c r="G43" s="17"/>
      <c r="H43" s="17"/>
      <c r="I43" s="18"/>
      <c r="J43" s="18"/>
      <c r="K43" s="19"/>
      <c r="L43" s="19"/>
      <c r="M43" s="19"/>
      <c r="N43" s="19"/>
      <c r="O43" s="19"/>
      <c r="P43" s="19"/>
    </row>
    <row r="44" spans="1:16" ht="19.5" x14ac:dyDescent="0.3">
      <c r="A44" s="75"/>
      <c r="B44" s="76"/>
      <c r="C44" s="77" t="s">
        <v>16</v>
      </c>
      <c r="D44" s="404" t="s">
        <v>17</v>
      </c>
      <c r="E44" s="76"/>
      <c r="F44" s="76"/>
      <c r="G44" s="79"/>
      <c r="H44" s="80" t="s">
        <v>12</v>
      </c>
      <c r="I44" s="81"/>
      <c r="J44" s="81"/>
      <c r="K44" s="82"/>
      <c r="L44" s="83">
        <f ca="1">L45+L46</f>
        <v>380550</v>
      </c>
      <c r="M44" s="83">
        <f ca="1">M45+M46</f>
        <v>380550</v>
      </c>
      <c r="N44" s="83">
        <f ca="1">N45+N46</f>
        <v>129250</v>
      </c>
      <c r="O44" s="83">
        <f ca="1">IF(L44&gt;0,N44*100/L44,0)</f>
        <v>33.963999474444883</v>
      </c>
      <c r="P44" s="83">
        <f ca="1">IF(M44&gt;0,N44*100/M44,0)</f>
        <v>33.963999474444883</v>
      </c>
    </row>
    <row r="45" spans="1:16" ht="18.75" hidden="1" x14ac:dyDescent="0.25">
      <c r="A45" s="75"/>
      <c r="B45" s="76"/>
      <c r="C45" s="76"/>
      <c r="D45" s="76"/>
      <c r="E45" s="84" t="s">
        <v>18</v>
      </c>
      <c r="F45" s="76"/>
      <c r="G45" s="79"/>
      <c r="H45" s="85" t="s">
        <v>12</v>
      </c>
      <c r="I45" s="81"/>
      <c r="J45" s="81"/>
      <c r="K45" s="82"/>
      <c r="L45" s="86">
        <f>L48+L51</f>
        <v>0</v>
      </c>
      <c r="M45" s="86">
        <f>M48+M51</f>
        <v>0</v>
      </c>
      <c r="N45" s="86">
        <f>N48+N51</f>
        <v>0</v>
      </c>
      <c r="O45" s="86">
        <f>IF(L45&gt;0,N45*100/L45,0)</f>
        <v>0</v>
      </c>
      <c r="P45" s="86">
        <f>IF(M45&gt;0,N45*100/M45,0)</f>
        <v>0</v>
      </c>
    </row>
    <row r="46" spans="1:16" ht="18.75" x14ac:dyDescent="0.25">
      <c r="A46" s="75"/>
      <c r="B46" s="76"/>
      <c r="C46" s="76"/>
      <c r="D46" s="76"/>
      <c r="E46" s="87" t="s">
        <v>19</v>
      </c>
      <c r="F46" s="76"/>
      <c r="G46" s="79"/>
      <c r="H46" s="88" t="s">
        <v>12</v>
      </c>
      <c r="I46" s="81"/>
      <c r="J46" s="81"/>
      <c r="K46" s="82"/>
      <c r="L46" s="89">
        <f ca="1">L49+L52</f>
        <v>380550</v>
      </c>
      <c r="M46" s="89">
        <f ca="1">M49+M52</f>
        <v>380550</v>
      </c>
      <c r="N46" s="89">
        <f ca="1">N49+N52</f>
        <v>129250</v>
      </c>
      <c r="O46" s="89">
        <f ca="1">IF(L46&gt;0,N46*100/L46,0)</f>
        <v>33.963999474444883</v>
      </c>
      <c r="P46" s="89">
        <f ca="1">IF(M46&gt;0,N46*100/M46,0)</f>
        <v>33.963999474444883</v>
      </c>
    </row>
    <row r="47" spans="1:16" ht="18.75" x14ac:dyDescent="0.25">
      <c r="A47" s="40"/>
      <c r="B47" s="41"/>
      <c r="C47" s="41"/>
      <c r="D47" s="42" t="s">
        <v>20</v>
      </c>
      <c r="E47" s="41"/>
      <c r="F47" s="41"/>
      <c r="G47" s="43"/>
      <c r="H47" s="44" t="s">
        <v>12</v>
      </c>
      <c r="I47" s="45"/>
      <c r="J47" s="45"/>
      <c r="K47" s="46"/>
      <c r="L47" s="47">
        <f ca="1">L48+L49</f>
        <v>380550</v>
      </c>
      <c r="M47" s="47">
        <f ca="1">M48+M49</f>
        <v>380550</v>
      </c>
      <c r="N47" s="47">
        <f ca="1">N48+N49</f>
        <v>129250</v>
      </c>
      <c r="O47" s="47">
        <f ca="1">IF(L47&gt;0,N47*100/L47,0)</f>
        <v>33.963999474444883</v>
      </c>
      <c r="P47" s="47">
        <f ca="1">IF(M47&gt;0,N47*100/M47,0)</f>
        <v>33.963999474444883</v>
      </c>
    </row>
    <row r="48" spans="1:16" ht="18.75" hidden="1" x14ac:dyDescent="0.25">
      <c r="A48" s="40"/>
      <c r="B48" s="41"/>
      <c r="C48" s="41"/>
      <c r="D48" s="41"/>
      <c r="E48" s="279" t="s">
        <v>18</v>
      </c>
      <c r="F48" s="41"/>
      <c r="G48" s="43"/>
      <c r="H48" s="49" t="s">
        <v>12</v>
      </c>
      <c r="I48" s="45"/>
      <c r="J48" s="45"/>
      <c r="K48" s="46"/>
      <c r="L48" s="50">
        <v>0</v>
      </c>
      <c r="M48" s="50">
        <v>0</v>
      </c>
      <c r="N48" s="50">
        <v>0</v>
      </c>
      <c r="O48" s="50">
        <f>IF(L48&gt;0,N48*100/L48,0)</f>
        <v>0</v>
      </c>
      <c r="P48" s="50">
        <f>IF(M48&gt;0,N48*100/M48,0)</f>
        <v>0</v>
      </c>
    </row>
    <row r="49" spans="1:16" ht="18.75" x14ac:dyDescent="0.25">
      <c r="A49" s="40"/>
      <c r="B49" s="41"/>
      <c r="C49" s="41"/>
      <c r="D49" s="41"/>
      <c r="E49" s="254" t="s">
        <v>19</v>
      </c>
      <c r="F49" s="41"/>
      <c r="G49" s="43"/>
      <c r="H49" s="44" t="s">
        <v>12</v>
      </c>
      <c r="I49" s="45"/>
      <c r="J49" s="45"/>
      <c r="K49" s="46"/>
      <c r="L49" s="47">
        <f ca="1">IFERROR(__xludf.DUMMYFUNCTION("IMPORTRANGE(""https://docs.google.com/spreadsheets/d/1-uDff_7J0KD5mKrp0Vvzr7lt3OU09vwQwhkpOPPYv2Y/edit?usp=sharing"",""งบพรบ!P21"")"),380550)</f>
        <v>380550</v>
      </c>
      <c r="M49" s="47">
        <f ca="1">IFERROR(__xludf.DUMMYFUNCTION("IMPORTRANGE(""https://docs.google.com/spreadsheets/d/1-uDff_7J0KD5mKrp0Vvzr7lt3OU09vwQwhkpOPPYv2Y/edit?usp=sharing"",""งบพรบ!V21"")"),380550)</f>
        <v>380550</v>
      </c>
      <c r="N49" s="47">
        <f ca="1">IFERROR(__xludf.DUMMYFUNCTION("IMPORTRANGE(""https://docs.google.com/spreadsheets/d/1-uDff_7J0KD5mKrp0Vvzr7lt3OU09vwQwhkpOPPYv2Y/edit?usp=sharing"",""งบพรบ!Y21"")"),129250)</f>
        <v>129250</v>
      </c>
      <c r="O49" s="47">
        <f ca="1">IF(L49&gt;0,N49*100/L49,0)</f>
        <v>33.963999474444883</v>
      </c>
      <c r="P49" s="47">
        <f ca="1">IF(M49&gt;0,N49*100/M49,0)</f>
        <v>33.963999474444883</v>
      </c>
    </row>
    <row r="50" spans="1:16" ht="18.75" x14ac:dyDescent="0.25">
      <c r="A50" s="40"/>
      <c r="B50" s="41"/>
      <c r="C50" s="41"/>
      <c r="D50" s="42" t="s">
        <v>21</v>
      </c>
      <c r="E50" s="41"/>
      <c r="F50" s="41"/>
      <c r="G50" s="43"/>
      <c r="H50" s="44" t="s">
        <v>12</v>
      </c>
      <c r="I50" s="45"/>
      <c r="J50" s="45"/>
      <c r="K50" s="46"/>
      <c r="L50" s="47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</row>
    <row r="51" spans="1:16" ht="18.75" hidden="1" x14ac:dyDescent="0.25">
      <c r="A51" s="40"/>
      <c r="B51" s="41"/>
      <c r="C51" s="41"/>
      <c r="D51" s="41"/>
      <c r="E51" s="279" t="s">
        <v>18</v>
      </c>
      <c r="F51" s="41"/>
      <c r="G51" s="43"/>
      <c r="H51" s="49" t="s">
        <v>12</v>
      </c>
      <c r="I51" s="45"/>
      <c r="J51" s="45"/>
      <c r="K51" s="46"/>
      <c r="L51" s="50">
        <v>0</v>
      </c>
      <c r="M51" s="50">
        <v>0</v>
      </c>
      <c r="N51" s="50">
        <v>0</v>
      </c>
      <c r="O51" s="50">
        <f>IF(L51&gt;0,N51*100/L51,0)</f>
        <v>0</v>
      </c>
      <c r="P51" s="50">
        <f>IF(M51&gt;0,N51*100/M51,0)</f>
        <v>0</v>
      </c>
    </row>
    <row r="52" spans="1:16" ht="18.75" x14ac:dyDescent="0.25">
      <c r="A52" s="40"/>
      <c r="B52" s="41"/>
      <c r="C52" s="41"/>
      <c r="D52" s="41"/>
      <c r="E52" s="254" t="s">
        <v>19</v>
      </c>
      <c r="F52" s="41"/>
      <c r="G52" s="43"/>
      <c r="H52" s="44" t="s">
        <v>12</v>
      </c>
      <c r="I52" s="45"/>
      <c r="J52" s="45"/>
      <c r="K52" s="46"/>
      <c r="L52" s="47">
        <f ca="1">IFERROR(__xludf.DUMMYFUNCTION("IMPORTRANGE(""https://docs.google.com/spreadsheets/d/1-uDff_7J0KD5mKrp0Vvzr7lt3OU09vwQwhkpOPPYv2Y/edit?usp=sharing"",""งบพรบ!S21"")"),0)</f>
        <v>0</v>
      </c>
      <c r="M52" s="47">
        <f ca="1">IFERROR(__xludf.DUMMYFUNCTION("IMPORTRANGE(""https://docs.google.com/spreadsheets/d/1-uDff_7J0KD5mKrp0Vvzr7lt3OU09vwQwhkpOPPYv2Y/edit?usp=sharing"",""งบพรบ!W21"")"),0)</f>
        <v>0</v>
      </c>
      <c r="N52" s="47">
        <f ca="1">IFERROR(__xludf.DUMMYFUNCTION("IMPORTRANGE(""https://docs.google.com/spreadsheets/d/1-uDff_7J0KD5mKrp0Vvzr7lt3OU09vwQwhkpOPPYv2Y/edit?usp=sharing"",""งบพรบ!Z21"")"),0)</f>
        <v>0</v>
      </c>
      <c r="O52" s="47">
        <f ca="1">IF(L52&gt;0,N52*100/L52,0)</f>
        <v>0</v>
      </c>
      <c r="P52" s="47">
        <f ca="1">IF(M52&gt;0,N52*100/M52,0)</f>
        <v>0</v>
      </c>
    </row>
    <row r="53" spans="1:16" ht="18.75" hidden="1" x14ac:dyDescent="0.25">
      <c r="A53" s="40"/>
      <c r="B53" s="41"/>
      <c r="C53" s="41"/>
      <c r="D53" s="42" t="s">
        <v>22</v>
      </c>
      <c r="E53" s="41"/>
      <c r="F53" s="41"/>
      <c r="G53" s="43"/>
      <c r="H53" s="44" t="s">
        <v>12</v>
      </c>
      <c r="I53" s="45"/>
      <c r="J53" s="45"/>
      <c r="K53" s="46"/>
      <c r="L53" s="47"/>
      <c r="M53" s="47"/>
      <c r="N53" s="47"/>
      <c r="O53" s="47"/>
      <c r="P53" s="47"/>
    </row>
    <row r="54" spans="1:16" ht="18.75" hidden="1" x14ac:dyDescent="0.25">
      <c r="A54" s="40"/>
      <c r="B54" s="41"/>
      <c r="C54" s="41"/>
      <c r="D54" s="41"/>
      <c r="E54" s="279" t="s">
        <v>18</v>
      </c>
      <c r="F54" s="41"/>
      <c r="G54" s="43"/>
      <c r="H54" s="49" t="s">
        <v>12</v>
      </c>
      <c r="I54" s="45"/>
      <c r="J54" s="45"/>
      <c r="K54" s="46"/>
      <c r="L54" s="50"/>
      <c r="M54" s="50"/>
      <c r="N54" s="50"/>
      <c r="O54" s="50"/>
      <c r="P54" s="50"/>
    </row>
    <row r="55" spans="1:16" ht="18.75" hidden="1" x14ac:dyDescent="0.25">
      <c r="A55" s="52"/>
      <c r="B55" s="1"/>
      <c r="C55" s="1"/>
      <c r="D55" s="1"/>
      <c r="E55" s="53" t="s">
        <v>19</v>
      </c>
      <c r="F55" s="1"/>
      <c r="G55" s="54"/>
      <c r="H55" s="55" t="s">
        <v>12</v>
      </c>
      <c r="I55" s="56"/>
      <c r="J55" s="56"/>
      <c r="K55" s="57"/>
      <c r="L55" s="58"/>
      <c r="M55" s="58"/>
      <c r="N55" s="58"/>
      <c r="O55" s="58"/>
      <c r="P55" s="58"/>
    </row>
    <row r="56" spans="1:16" ht="19.5" x14ac:dyDescent="0.3">
      <c r="A56" s="382" t="s">
        <v>26</v>
      </c>
      <c r="B56" s="379"/>
      <c r="C56" s="379"/>
      <c r="D56" s="379"/>
      <c r="E56" s="379"/>
      <c r="F56" s="379"/>
      <c r="G56" s="380"/>
      <c r="H56" s="90"/>
      <c r="I56" s="91"/>
      <c r="J56" s="91"/>
      <c r="K56" s="92"/>
      <c r="L56" s="92"/>
      <c r="M56" s="92"/>
      <c r="N56" s="92"/>
      <c r="O56" s="92"/>
      <c r="P56" s="93"/>
    </row>
    <row r="57" spans="1:16" ht="19.5" x14ac:dyDescent="0.3">
      <c r="A57" s="94"/>
      <c r="B57" s="383" t="s">
        <v>27</v>
      </c>
      <c r="C57" s="384"/>
      <c r="D57" s="384"/>
      <c r="E57" s="384"/>
      <c r="F57" s="384"/>
      <c r="G57" s="385"/>
      <c r="H57" s="95"/>
      <c r="I57" s="96"/>
      <c r="J57" s="96"/>
      <c r="K57" s="97"/>
      <c r="L57" s="97"/>
      <c r="M57" s="97"/>
      <c r="N57" s="97"/>
      <c r="O57" s="97"/>
      <c r="P57" s="97"/>
    </row>
    <row r="58" spans="1:16" ht="19.5" x14ac:dyDescent="0.3">
      <c r="A58" s="98"/>
      <c r="B58" s="99" t="s">
        <v>28</v>
      </c>
      <c r="C58" s="100"/>
      <c r="D58" s="100"/>
      <c r="E58" s="100"/>
      <c r="F58" s="100"/>
      <c r="G58" s="101"/>
      <c r="H58" s="101"/>
      <c r="I58" s="102"/>
      <c r="J58" s="102"/>
      <c r="K58" s="103"/>
      <c r="L58" s="103"/>
      <c r="M58" s="103"/>
      <c r="N58" s="103"/>
      <c r="O58" s="103"/>
      <c r="P58" s="103"/>
    </row>
    <row r="59" spans="1:16" ht="19.5" x14ac:dyDescent="0.3">
      <c r="A59" s="104"/>
      <c r="B59" s="105"/>
      <c r="C59" s="106" t="s">
        <v>16</v>
      </c>
      <c r="D59" s="403" t="s">
        <v>17</v>
      </c>
      <c r="E59" s="105"/>
      <c r="F59" s="105"/>
      <c r="G59" s="108"/>
      <c r="H59" s="109" t="s">
        <v>12</v>
      </c>
      <c r="I59" s="110"/>
      <c r="J59" s="110"/>
      <c r="K59" s="111"/>
      <c r="L59" s="112">
        <f ca="1">L60+L61</f>
        <v>448300</v>
      </c>
      <c r="M59" s="112">
        <f ca="1">M60+M61</f>
        <v>338150</v>
      </c>
      <c r="N59" s="112">
        <f ca="1">N60+N61</f>
        <v>189838.03</v>
      </c>
      <c r="O59" s="112">
        <f ca="1">IF(L59&gt;0,N59*100/L59,0)</f>
        <v>42.346203435199641</v>
      </c>
      <c r="P59" s="112">
        <f ca="1">IF(M59&gt;0,N59*100/M59,0)</f>
        <v>56.14018335058406</v>
      </c>
    </row>
    <row r="60" spans="1:16" ht="18.75" hidden="1" x14ac:dyDescent="0.25">
      <c r="A60" s="104"/>
      <c r="B60" s="105"/>
      <c r="C60" s="105"/>
      <c r="D60" s="105"/>
      <c r="E60" s="113" t="s">
        <v>18</v>
      </c>
      <c r="F60" s="105"/>
      <c r="G60" s="108"/>
      <c r="H60" s="114" t="s">
        <v>12</v>
      </c>
      <c r="I60" s="110"/>
      <c r="J60" s="110"/>
      <c r="K60" s="111"/>
      <c r="L60" s="115">
        <f>L63+L66</f>
        <v>0</v>
      </c>
      <c r="M60" s="115">
        <f>M63+M66</f>
        <v>0</v>
      </c>
      <c r="N60" s="115">
        <f>N63+N66</f>
        <v>0</v>
      </c>
      <c r="O60" s="115">
        <f>IF(L60&gt;0,N60*100/L60,0)</f>
        <v>0</v>
      </c>
      <c r="P60" s="115">
        <f>IF(M60&gt;0,N60*100/M60,0)</f>
        <v>0</v>
      </c>
    </row>
    <row r="61" spans="1:16" ht="18.75" x14ac:dyDescent="0.25">
      <c r="A61" s="104"/>
      <c r="B61" s="105"/>
      <c r="C61" s="105"/>
      <c r="D61" s="105"/>
      <c r="E61" s="116" t="s">
        <v>19</v>
      </c>
      <c r="F61" s="105"/>
      <c r="G61" s="108"/>
      <c r="H61" s="117" t="s">
        <v>12</v>
      </c>
      <c r="I61" s="110"/>
      <c r="J61" s="110"/>
      <c r="K61" s="111"/>
      <c r="L61" s="118">
        <f ca="1">L64+L67</f>
        <v>448300</v>
      </c>
      <c r="M61" s="118">
        <f ca="1">M64+M67</f>
        <v>338150</v>
      </c>
      <c r="N61" s="118">
        <f ca="1">N64+N67</f>
        <v>189838.03</v>
      </c>
      <c r="O61" s="118">
        <f ca="1">IF(L61&gt;0,N61*100/L61,0)</f>
        <v>42.346203435199641</v>
      </c>
      <c r="P61" s="118">
        <f ca="1">IF(M61&gt;0,N61*100/M61,0)</f>
        <v>56.14018335058406</v>
      </c>
    </row>
    <row r="62" spans="1:16" ht="18.75" x14ac:dyDescent="0.25">
      <c r="A62" s="40"/>
      <c r="B62" s="41"/>
      <c r="C62" s="41"/>
      <c r="D62" s="42" t="s">
        <v>20</v>
      </c>
      <c r="E62" s="41"/>
      <c r="F62" s="41"/>
      <c r="G62" s="43"/>
      <c r="H62" s="44" t="s">
        <v>12</v>
      </c>
      <c r="I62" s="45"/>
      <c r="J62" s="45"/>
      <c r="K62" s="46"/>
      <c r="L62" s="47">
        <f ca="1">L63+L64</f>
        <v>448300</v>
      </c>
      <c r="M62" s="47">
        <f ca="1">M63+M64</f>
        <v>338150</v>
      </c>
      <c r="N62" s="47">
        <f ca="1">N63+N64</f>
        <v>189838.03</v>
      </c>
      <c r="O62" s="47">
        <f ca="1">IF(L62&gt;0,N62*100/L62,0)</f>
        <v>42.346203435199641</v>
      </c>
      <c r="P62" s="47">
        <f ca="1">IF(M62&gt;0,N62*100/M62,0)</f>
        <v>56.14018335058406</v>
      </c>
    </row>
    <row r="63" spans="1:16" ht="18.75" hidden="1" x14ac:dyDescent="0.25">
      <c r="A63" s="40"/>
      <c r="B63" s="41"/>
      <c r="C63" s="41"/>
      <c r="D63" s="41"/>
      <c r="E63" s="279" t="s">
        <v>18</v>
      </c>
      <c r="F63" s="41"/>
      <c r="G63" s="43"/>
      <c r="H63" s="49" t="s">
        <v>12</v>
      </c>
      <c r="I63" s="45"/>
      <c r="J63" s="45"/>
      <c r="K63" s="46"/>
      <c r="L63" s="50">
        <v>0</v>
      </c>
      <c r="M63" s="50">
        <v>0</v>
      </c>
      <c r="N63" s="50">
        <v>0</v>
      </c>
      <c r="O63" s="50">
        <f>IF(L63&gt;0,N63*100/L63,0)</f>
        <v>0</v>
      </c>
      <c r="P63" s="50">
        <f>IF(M63&gt;0,N63*100/M63,0)</f>
        <v>0</v>
      </c>
    </row>
    <row r="64" spans="1:16" ht="18.75" x14ac:dyDescent="0.25">
      <c r="A64" s="40"/>
      <c r="B64" s="41"/>
      <c r="C64" s="41"/>
      <c r="D64" s="41"/>
      <c r="E64" s="254" t="s">
        <v>19</v>
      </c>
      <c r="F64" s="41"/>
      <c r="G64" s="43"/>
      <c r="H64" s="44" t="s">
        <v>12</v>
      </c>
      <c r="I64" s="45"/>
      <c r="J64" s="45"/>
      <c r="K64" s="46"/>
      <c r="L64" s="47">
        <f ca="1">IFERROR(__xludf.DUMMYFUNCTION("IMPORTRANGE(""https://docs.google.com/spreadsheets/d/1-uDff_7J0KD5mKrp0Vvzr7lt3OU09vwQwhkpOPPYv2Y/edit?usp=sharing"",""งบพรบ!AC21"")"),448300)</f>
        <v>448300</v>
      </c>
      <c r="M64" s="47">
        <f ca="1">IFERROR(__xludf.DUMMYFUNCTION("IMPORTRANGE(""https://docs.google.com/spreadsheets/d/1-uDff_7J0KD5mKrp0Vvzr7lt3OU09vwQwhkpOPPYv2Y/edit?usp=sharing"",""งบพรบ!AH21"")"),338150)</f>
        <v>338150</v>
      </c>
      <c r="N64" s="47">
        <f ca="1">IFERROR(__xludf.DUMMYFUNCTION("IMPORTRANGE(""https://docs.google.com/spreadsheets/d/1-uDff_7J0KD5mKrp0Vvzr7lt3OU09vwQwhkpOPPYv2Y/edit?usp=sharing"",""งบพรบ!AJ21"")"),189838.03)</f>
        <v>189838.03</v>
      </c>
      <c r="O64" s="47">
        <f ca="1">IF(L64&gt;0,N64*100/L64,0)</f>
        <v>42.346203435199641</v>
      </c>
      <c r="P64" s="47">
        <f ca="1">IF(M64&gt;0,N64*100/M64,0)</f>
        <v>56.14018335058406</v>
      </c>
    </row>
    <row r="65" spans="1:16" ht="18.75" x14ac:dyDescent="0.25">
      <c r="A65" s="40"/>
      <c r="B65" s="41"/>
      <c r="C65" s="41"/>
      <c r="D65" s="42" t="s">
        <v>21</v>
      </c>
      <c r="E65" s="41"/>
      <c r="F65" s="41"/>
      <c r="G65" s="43"/>
      <c r="H65" s="44" t="s">
        <v>12</v>
      </c>
      <c r="I65" s="45"/>
      <c r="J65" s="45"/>
      <c r="K65" s="46"/>
      <c r="L65" s="47">
        <f ca="1">L66+L67</f>
        <v>0</v>
      </c>
      <c r="M65" s="47">
        <f ca="1">M66+M67</f>
        <v>0</v>
      </c>
      <c r="N65" s="47">
        <f ca="1">N66+N67</f>
        <v>0</v>
      </c>
      <c r="O65" s="47">
        <f ca="1">IF(L65&gt;0,N65*100/L65,0)</f>
        <v>0</v>
      </c>
      <c r="P65" s="47">
        <f ca="1">IF(M65&gt;0,N65*100/M65,0)</f>
        <v>0</v>
      </c>
    </row>
    <row r="66" spans="1:16" ht="18.75" hidden="1" x14ac:dyDescent="0.25">
      <c r="A66" s="40"/>
      <c r="B66" s="41"/>
      <c r="C66" s="41"/>
      <c r="D66" s="41"/>
      <c r="E66" s="279" t="s">
        <v>18</v>
      </c>
      <c r="F66" s="41"/>
      <c r="G66" s="43"/>
      <c r="H66" s="49" t="s">
        <v>12</v>
      </c>
      <c r="I66" s="45"/>
      <c r="J66" s="45"/>
      <c r="K66" s="46"/>
      <c r="L66" s="50">
        <v>0</v>
      </c>
      <c r="M66" s="50">
        <v>0</v>
      </c>
      <c r="N66" s="50">
        <v>0</v>
      </c>
      <c r="O66" s="50">
        <f>IF(L66&gt;0,N66*100/L66,0)</f>
        <v>0</v>
      </c>
      <c r="P66" s="50">
        <f>IF(M66&gt;0,N66*100/M66,0)</f>
        <v>0</v>
      </c>
    </row>
    <row r="67" spans="1:16" ht="18.75" x14ac:dyDescent="0.25">
      <c r="A67" s="52"/>
      <c r="B67" s="1"/>
      <c r="C67" s="1"/>
      <c r="D67" s="1"/>
      <c r="E67" s="53" t="s">
        <v>19</v>
      </c>
      <c r="F67" s="1"/>
      <c r="G67" s="54"/>
      <c r="H67" s="55" t="s">
        <v>12</v>
      </c>
      <c r="I67" s="56"/>
      <c r="J67" s="56"/>
      <c r="K67" s="57"/>
      <c r="L67" s="58">
        <f ca="1">IFERROR(__xludf.DUMMYFUNCTION("IMPORTRANGE(""https://docs.google.com/spreadsheets/d/1-uDff_7J0KD5mKrp0Vvzr7lt3OU09vwQwhkpOPPYv2Y/edit?usp=sharing"",""งบพรบ!AF21"")"),0)</f>
        <v>0</v>
      </c>
      <c r="M67" s="58">
        <f ca="1">IFERROR(__xludf.DUMMYFUNCTION("IMPORTRANGE(""https://docs.google.com/spreadsheets/d/1-uDff_7J0KD5mKrp0Vvzr7lt3OU09vwQwhkpOPPYv2Y/edit?usp=sharing"",""งบพรบ!AI21"")"),0)</f>
        <v>0</v>
      </c>
      <c r="N67" s="58">
        <f ca="1">IFERROR(__xludf.DUMMYFUNCTION("IMPORTRANGE(""https://docs.google.com/spreadsheets/d/1-uDff_7J0KD5mKrp0Vvzr7lt3OU09vwQwhkpOPPYv2Y/edit?usp=sharing"",""งบพรบ!AK21"")"),0)</f>
        <v>0</v>
      </c>
      <c r="O67" s="58">
        <f ca="1">IF(L67&gt;0,N67*100/L67,0)</f>
        <v>0</v>
      </c>
      <c r="P67" s="58">
        <f ca="1">IF(M67&gt;0,N67*100/M67,0)</f>
        <v>0</v>
      </c>
    </row>
    <row r="68" spans="1:16" ht="19.5" hidden="1" x14ac:dyDescent="0.3">
      <c r="A68" s="119" t="s">
        <v>29</v>
      </c>
      <c r="B68" s="120"/>
      <c r="C68" s="120"/>
      <c r="D68" s="120"/>
      <c r="E68" s="121"/>
      <c r="F68" s="121"/>
      <c r="G68" s="121"/>
      <c r="H68" s="121"/>
      <c r="I68" s="122"/>
      <c r="J68" s="122"/>
      <c r="K68" s="123"/>
      <c r="L68" s="123"/>
      <c r="M68" s="123"/>
      <c r="N68" s="123"/>
      <c r="O68" s="123"/>
      <c r="P68" s="124"/>
    </row>
    <row r="69" spans="1:16" ht="19.5" hidden="1" x14ac:dyDescent="0.3">
      <c r="A69" s="125" t="s">
        <v>30</v>
      </c>
      <c r="B69" s="126"/>
      <c r="C69" s="127"/>
      <c r="D69" s="126"/>
      <c r="E69" s="126"/>
      <c r="F69" s="126"/>
      <c r="G69" s="128"/>
      <c r="H69" s="128"/>
      <c r="I69" s="129"/>
      <c r="J69" s="129"/>
      <c r="K69" s="130"/>
      <c r="L69" s="130"/>
      <c r="M69" s="130"/>
      <c r="N69" s="130"/>
      <c r="O69" s="130"/>
      <c r="P69" s="130"/>
    </row>
    <row r="70" spans="1:16" ht="19.5" hidden="1" x14ac:dyDescent="0.3">
      <c r="A70" s="131"/>
      <c r="B70" s="132" t="s">
        <v>31</v>
      </c>
      <c r="C70" s="26"/>
      <c r="D70" s="133"/>
      <c r="E70" s="26"/>
      <c r="F70" s="26"/>
      <c r="G70" s="29"/>
      <c r="H70" s="134" t="s">
        <v>32</v>
      </c>
      <c r="I70" s="135">
        <f ca="1">I82</f>
        <v>0</v>
      </c>
      <c r="J70" s="135">
        <f>J82</f>
        <v>0</v>
      </c>
      <c r="K70" s="33">
        <f ca="1">IF(I70&gt;0,J70*100/I70,0)</f>
        <v>0</v>
      </c>
      <c r="L70" s="32"/>
      <c r="M70" s="32"/>
      <c r="N70" s="32"/>
      <c r="O70" s="32"/>
      <c r="P70" s="32"/>
    </row>
    <row r="71" spans="1:16" ht="19.5" hidden="1" x14ac:dyDescent="0.3">
      <c r="A71" s="131"/>
      <c r="B71" s="26"/>
      <c r="C71" s="26"/>
      <c r="D71" s="133"/>
      <c r="E71" s="26"/>
      <c r="F71" s="26"/>
      <c r="G71" s="29"/>
      <c r="H71" s="134" t="s">
        <v>33</v>
      </c>
      <c r="I71" s="135">
        <f ca="1">I83</f>
        <v>0</v>
      </c>
      <c r="J71" s="135">
        <f>J83</f>
        <v>0</v>
      </c>
      <c r="K71" s="33">
        <f ca="1">IF(I71&gt;0,J71*100/I71,0)</f>
        <v>0</v>
      </c>
      <c r="L71" s="32"/>
      <c r="M71" s="32"/>
      <c r="N71" s="32"/>
      <c r="O71" s="32"/>
      <c r="P71" s="32"/>
    </row>
    <row r="72" spans="1:16" ht="19.5" hidden="1" x14ac:dyDescent="0.3">
      <c r="A72" s="136"/>
      <c r="B72" s="41"/>
      <c r="C72" s="197" t="s">
        <v>16</v>
      </c>
      <c r="D72" s="397" t="s">
        <v>17</v>
      </c>
      <c r="E72" s="41"/>
      <c r="F72" s="41"/>
      <c r="G72" s="43"/>
      <c r="H72" s="139" t="s">
        <v>12</v>
      </c>
      <c r="I72" s="45"/>
      <c r="J72" s="45"/>
      <c r="K72" s="46"/>
      <c r="L72" s="140">
        <f ca="1">L73+L74</f>
        <v>0</v>
      </c>
      <c r="M72" s="140">
        <f ca="1">M73+M74</f>
        <v>0</v>
      </c>
      <c r="N72" s="140">
        <f ca="1">N73+N74</f>
        <v>0</v>
      </c>
      <c r="O72" s="140">
        <f ca="1">IF(L72&gt;0,N72*100/L72,0)</f>
        <v>0</v>
      </c>
      <c r="P72" s="140">
        <f ca="1">IF(M72&gt;0,N72*100/M72,0)</f>
        <v>0</v>
      </c>
    </row>
    <row r="73" spans="1:16" ht="18.75" hidden="1" x14ac:dyDescent="0.25">
      <c r="A73" s="136"/>
      <c r="B73" s="41"/>
      <c r="C73" s="41"/>
      <c r="D73" s="41"/>
      <c r="E73" s="279" t="s">
        <v>18</v>
      </c>
      <c r="F73" s="41"/>
      <c r="G73" s="43"/>
      <c r="H73" s="141" t="s">
        <v>12</v>
      </c>
      <c r="I73" s="45"/>
      <c r="J73" s="45"/>
      <c r="K73" s="46"/>
      <c r="L73" s="50">
        <f>L76+L79</f>
        <v>0</v>
      </c>
      <c r="M73" s="50">
        <f>M76+M79</f>
        <v>0</v>
      </c>
      <c r="N73" s="50">
        <f>N76+N79</f>
        <v>0</v>
      </c>
      <c r="O73" s="50">
        <f>IF(L73&gt;0,N73*100/L73,0)</f>
        <v>0</v>
      </c>
      <c r="P73" s="50">
        <f>IF(M73&gt;0,N73*100/M73,0)</f>
        <v>0</v>
      </c>
    </row>
    <row r="74" spans="1:16" ht="18.75" hidden="1" x14ac:dyDescent="0.25">
      <c r="A74" s="136"/>
      <c r="B74" s="41"/>
      <c r="C74" s="41"/>
      <c r="D74" s="41"/>
      <c r="E74" s="254" t="s">
        <v>19</v>
      </c>
      <c r="F74" s="41"/>
      <c r="G74" s="43"/>
      <c r="H74" s="142" t="s">
        <v>12</v>
      </c>
      <c r="I74" s="45"/>
      <c r="J74" s="45"/>
      <c r="K74" s="46"/>
      <c r="L74" s="47">
        <f ca="1">L77+L80</f>
        <v>0</v>
      </c>
      <c r="M74" s="47">
        <f ca="1">M77+M80</f>
        <v>0</v>
      </c>
      <c r="N74" s="47">
        <f ca="1">N77+N80</f>
        <v>0</v>
      </c>
      <c r="O74" s="47">
        <f ca="1">IF(L74&gt;0,N74*100/L74,0)</f>
        <v>0</v>
      </c>
      <c r="P74" s="47">
        <f ca="1">IF(M74&gt;0,N74*100/M74,0)</f>
        <v>0</v>
      </c>
    </row>
    <row r="75" spans="1:16" ht="18.75" hidden="1" x14ac:dyDescent="0.25">
      <c r="A75" s="136"/>
      <c r="B75" s="41"/>
      <c r="C75" s="41"/>
      <c r="D75" s="42" t="s">
        <v>20</v>
      </c>
      <c r="E75" s="41"/>
      <c r="F75" s="41"/>
      <c r="G75" s="43"/>
      <c r="H75" s="143" t="s">
        <v>12</v>
      </c>
      <c r="I75" s="144"/>
      <c r="J75" s="144"/>
      <c r="K75" s="145"/>
      <c r="L75" s="47">
        <f ca="1">L76+L77</f>
        <v>0</v>
      </c>
      <c r="M75" s="47">
        <f ca="1">M76+M77</f>
        <v>0</v>
      </c>
      <c r="N75" s="47">
        <f ca="1">N76+N77</f>
        <v>0</v>
      </c>
      <c r="O75" s="47">
        <f ca="1">IF(L75&gt;0,N75*100/L75,0)</f>
        <v>0</v>
      </c>
      <c r="P75" s="47">
        <f ca="1">IF(M75&gt;0,N75*100/M75,0)</f>
        <v>0</v>
      </c>
    </row>
    <row r="76" spans="1:16" ht="18.75" hidden="1" x14ac:dyDescent="0.25">
      <c r="A76" s="136"/>
      <c r="B76" s="41"/>
      <c r="C76" s="41"/>
      <c r="D76" s="41"/>
      <c r="E76" s="279" t="s">
        <v>34</v>
      </c>
      <c r="F76" s="41"/>
      <c r="G76" s="43"/>
      <c r="H76" s="146" t="s">
        <v>12</v>
      </c>
      <c r="I76" s="144"/>
      <c r="J76" s="144"/>
      <c r="K76" s="145"/>
      <c r="L76" s="50">
        <v>0</v>
      </c>
      <c r="M76" s="50">
        <v>0</v>
      </c>
      <c r="N76" s="50">
        <v>0</v>
      </c>
      <c r="O76" s="50">
        <f>IF(L76&gt;0,N76*100/L76,0)</f>
        <v>0</v>
      </c>
      <c r="P76" s="50">
        <f>IF(M76&gt;0,N76*100/M76,0)</f>
        <v>0</v>
      </c>
    </row>
    <row r="77" spans="1:16" ht="18.75" hidden="1" x14ac:dyDescent="0.25">
      <c r="A77" s="136"/>
      <c r="B77" s="41"/>
      <c r="C77" s="41"/>
      <c r="D77" s="41"/>
      <c r="E77" s="254" t="s">
        <v>35</v>
      </c>
      <c r="F77" s="41"/>
      <c r="G77" s="43"/>
      <c r="H77" s="143" t="s">
        <v>12</v>
      </c>
      <c r="I77" s="144"/>
      <c r="J77" s="144"/>
      <c r="K77" s="145"/>
      <c r="L77" s="47">
        <f ca="1">IFERROR(__xludf.DUMMYFUNCTION("IMPORTRANGE(""https://docs.google.com/spreadsheets/d/1-uDff_7J0KD5mKrp0Vvzr7lt3OU09vwQwhkpOPPYv2Y/edit?usp=sharing"",""งบพรบ!AM21"")"),0)</f>
        <v>0</v>
      </c>
      <c r="M77" s="47">
        <f ca="1">IFERROR(__xludf.DUMMYFUNCTION("IMPORTRANGE(""https://docs.google.com/spreadsheets/d/1-uDff_7J0KD5mKrp0Vvzr7lt3OU09vwQwhkpOPPYv2Y/edit?usp=sharing"",""งบพรบ!AR21"")"),0)</f>
        <v>0</v>
      </c>
      <c r="N77" s="47">
        <f ca="1">IFERROR(__xludf.DUMMYFUNCTION("IMPORTRANGE(""https://docs.google.com/spreadsheets/d/1-uDff_7J0KD5mKrp0Vvzr7lt3OU09vwQwhkpOPPYv2Y/edit?usp=sharing"",""งบพรบ!AT21"")"),0)</f>
        <v>0</v>
      </c>
      <c r="O77" s="47">
        <f ca="1">IF(L77&gt;0,N77*100/L77,0)</f>
        <v>0</v>
      </c>
      <c r="P77" s="47">
        <f ca="1">IF(M77&gt;0,N77*100/M77,0)</f>
        <v>0</v>
      </c>
    </row>
    <row r="78" spans="1:16" ht="18.75" hidden="1" x14ac:dyDescent="0.25">
      <c r="A78" s="136"/>
      <c r="B78" s="41"/>
      <c r="C78" s="41"/>
      <c r="D78" s="42" t="s">
        <v>21</v>
      </c>
      <c r="E78" s="41"/>
      <c r="F78" s="41"/>
      <c r="G78" s="43"/>
      <c r="H78" s="147" t="s">
        <v>12</v>
      </c>
      <c r="I78" s="144"/>
      <c r="J78" s="144"/>
      <c r="K78" s="145"/>
      <c r="L78" s="47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</row>
    <row r="79" spans="1:16" ht="18.75" hidden="1" x14ac:dyDescent="0.25">
      <c r="A79" s="136"/>
      <c r="B79" s="41"/>
      <c r="C79" s="41"/>
      <c r="D79" s="41"/>
      <c r="E79" s="279" t="s">
        <v>18</v>
      </c>
      <c r="F79" s="41"/>
      <c r="G79" s="43"/>
      <c r="H79" s="146" t="s">
        <v>12</v>
      </c>
      <c r="I79" s="144"/>
      <c r="J79" s="144"/>
      <c r="K79" s="145"/>
      <c r="L79" s="50">
        <v>0</v>
      </c>
      <c r="M79" s="46"/>
      <c r="N79" s="46"/>
      <c r="O79" s="50">
        <f>IF(L79&gt;0,N79*100/L79,0)</f>
        <v>0</v>
      </c>
      <c r="P79" s="50">
        <f>IF(M79&gt;0,N79*100/M79,0)</f>
        <v>0</v>
      </c>
    </row>
    <row r="80" spans="1:16" ht="18.75" hidden="1" x14ac:dyDescent="0.25">
      <c r="A80" s="136"/>
      <c r="B80" s="41"/>
      <c r="C80" s="41"/>
      <c r="D80" s="41"/>
      <c r="E80" s="254" t="s">
        <v>19</v>
      </c>
      <c r="F80" s="41"/>
      <c r="G80" s="43"/>
      <c r="H80" s="147" t="s">
        <v>12</v>
      </c>
      <c r="I80" s="144"/>
      <c r="J80" s="144"/>
      <c r="K80" s="145"/>
      <c r="L80" s="47">
        <f ca="1">IFERROR(__xludf.DUMMYFUNCTION("IMPORTRANGE(""https://docs.google.com/spreadsheets/d/1-uDff_7J0KD5mKrp0Vvzr7lt3OU09vwQwhkpOPPYv2Y/edit?usp=sharing"",""งบพรบ!AP21"")"),0)</f>
        <v>0</v>
      </c>
      <c r="M80" s="47">
        <f ca="1">IFERROR(__xludf.DUMMYFUNCTION("IMPORTRANGE(""https://docs.google.com/spreadsheets/d/1-uDff_7J0KD5mKrp0Vvzr7lt3OU09vwQwhkpOPPYv2Y/edit?usp=sharing"",""งบพรบ!AS21"")"),0)</f>
        <v>0</v>
      </c>
      <c r="N80" s="47">
        <f ca="1">IFERROR(__xludf.DUMMYFUNCTION("IMPORTRANGE(""https://docs.google.com/spreadsheets/d/1-uDff_7J0KD5mKrp0Vvzr7lt3OU09vwQwhkpOPPYv2Y/edit?usp=sharing"",""งบพรบ!AU21"")"),0)</f>
        <v>0</v>
      </c>
      <c r="O80" s="47">
        <f ca="1">IF(L80&gt;0,N80*100/L80,0)</f>
        <v>0</v>
      </c>
      <c r="P80" s="47">
        <f ca="1">IF(M80&gt;0,N80*100/M80,0)</f>
        <v>0</v>
      </c>
    </row>
    <row r="81" spans="1:16" ht="19.5" hidden="1" x14ac:dyDescent="0.3">
      <c r="A81" s="148"/>
      <c r="B81" s="149"/>
      <c r="C81" s="197" t="s">
        <v>16</v>
      </c>
      <c r="D81" s="395" t="s">
        <v>36</v>
      </c>
      <c r="E81" s="151"/>
      <c r="F81" s="151"/>
      <c r="G81" s="152"/>
      <c r="H81" s="153"/>
      <c r="I81" s="144"/>
      <c r="J81" s="144"/>
      <c r="K81" s="145"/>
      <c r="L81" s="145"/>
      <c r="M81" s="145"/>
      <c r="N81" s="145"/>
      <c r="O81" s="145"/>
      <c r="P81" s="145"/>
    </row>
    <row r="82" spans="1:16" ht="19.5" hidden="1" x14ac:dyDescent="0.3">
      <c r="A82" s="148"/>
      <c r="B82" s="149"/>
      <c r="C82" s="149"/>
      <c r="D82" s="154" t="s">
        <v>37</v>
      </c>
      <c r="E82" s="155"/>
      <c r="F82" s="155"/>
      <c r="G82" s="153"/>
      <c r="H82" s="156" t="s">
        <v>32</v>
      </c>
      <c r="I82" s="157">
        <f ca="1">I84+I86+I88</f>
        <v>0</v>
      </c>
      <c r="J82" s="157">
        <f>J84+J86+J88</f>
        <v>0</v>
      </c>
      <c r="K82" s="158">
        <f ca="1">IF(I82&gt;0,J82*100/I82,0)</f>
        <v>0</v>
      </c>
      <c r="L82" s="145"/>
      <c r="M82" s="145"/>
      <c r="N82" s="145"/>
      <c r="O82" s="145"/>
      <c r="P82" s="145"/>
    </row>
    <row r="83" spans="1:16" ht="19.5" hidden="1" x14ac:dyDescent="0.3">
      <c r="A83" s="148"/>
      <c r="B83" s="149"/>
      <c r="C83" s="149"/>
      <c r="D83" s="149"/>
      <c r="E83" s="155"/>
      <c r="F83" s="155"/>
      <c r="G83" s="153"/>
      <c r="H83" s="156" t="s">
        <v>33</v>
      </c>
      <c r="I83" s="157">
        <f ca="1">I85+I87+I89</f>
        <v>0</v>
      </c>
      <c r="J83" s="157">
        <f>J85+J87+J89</f>
        <v>0</v>
      </c>
      <c r="K83" s="158">
        <f ca="1">IF(I83&gt;0,J83*100/I83,0)</f>
        <v>0</v>
      </c>
      <c r="L83" s="145"/>
      <c r="M83" s="145"/>
      <c r="N83" s="145"/>
      <c r="O83" s="145"/>
      <c r="P83" s="145"/>
    </row>
    <row r="84" spans="1:16" ht="18.75" hidden="1" x14ac:dyDescent="0.25">
      <c r="A84" s="148"/>
      <c r="B84" s="149"/>
      <c r="C84" s="149"/>
      <c r="D84" s="149"/>
      <c r="E84" s="159" t="s">
        <v>38</v>
      </c>
      <c r="F84" s="155"/>
      <c r="G84" s="153"/>
      <c r="H84" s="251" t="s">
        <v>32</v>
      </c>
      <c r="I84" s="161">
        <f ca="1">IFERROR(__xludf.DUMMYFUNCTION("IMPORTRANGE(""https://docs.google.com/spreadsheets/d/1eHaY18a8A9IcSdp1K8H6x8fbOy06t2VsZHhMHf-1x7Y/edit?usp=sharing"",""แผน!H21"")"),0)</f>
        <v>0</v>
      </c>
      <c r="J84" s="250">
        <v>0</v>
      </c>
      <c r="K84" s="163">
        <f ca="1">IF(I84&gt;0,J84*100/I84,0)</f>
        <v>0</v>
      </c>
      <c r="L84" s="145"/>
      <c r="M84" s="145"/>
      <c r="N84" s="145"/>
      <c r="O84" s="145"/>
      <c r="P84" s="145"/>
    </row>
    <row r="85" spans="1:16" ht="18.75" hidden="1" x14ac:dyDescent="0.25">
      <c r="A85" s="148"/>
      <c r="B85" s="149"/>
      <c r="C85" s="149"/>
      <c r="D85" s="149"/>
      <c r="E85" s="155"/>
      <c r="F85" s="155"/>
      <c r="G85" s="153"/>
      <c r="H85" s="251" t="s">
        <v>33</v>
      </c>
      <c r="I85" s="161">
        <f ca="1">IFERROR(__xludf.DUMMYFUNCTION("IMPORTRANGE(""https://docs.google.com/spreadsheets/d/1eHaY18a8A9IcSdp1K8H6x8fbOy06t2VsZHhMHf-1x7Y/edit?usp=sharing"",""แผน!I21"")"),0)</f>
        <v>0</v>
      </c>
      <c r="J85" s="250">
        <v>0</v>
      </c>
      <c r="K85" s="163">
        <f ca="1">IF(I85&gt;0,J85*100/I85,0)</f>
        <v>0</v>
      </c>
      <c r="L85" s="145"/>
      <c r="M85" s="145"/>
      <c r="N85" s="145"/>
      <c r="O85" s="145"/>
      <c r="P85" s="145"/>
    </row>
    <row r="86" spans="1:16" ht="18.75" hidden="1" x14ac:dyDescent="0.25">
      <c r="A86" s="148"/>
      <c r="B86" s="149"/>
      <c r="C86" s="149"/>
      <c r="D86" s="149"/>
      <c r="E86" s="159" t="s">
        <v>39</v>
      </c>
      <c r="F86" s="155"/>
      <c r="G86" s="153"/>
      <c r="H86" s="251" t="s">
        <v>32</v>
      </c>
      <c r="I86" s="161">
        <f ca="1">IFERROR(__xludf.DUMMYFUNCTION("IMPORTRANGE(""https://docs.google.com/spreadsheets/d/1eHaY18a8A9IcSdp1K8H6x8fbOy06t2VsZHhMHf-1x7Y/edit?usp=sharing"",""แผน!F21"")"),0)</f>
        <v>0</v>
      </c>
      <c r="J86" s="250">
        <v>0</v>
      </c>
      <c r="K86" s="163">
        <f ca="1">IF(I86&gt;0,J86*100/I86,0)</f>
        <v>0</v>
      </c>
      <c r="L86" s="145"/>
      <c r="M86" s="145"/>
      <c r="N86" s="145"/>
      <c r="O86" s="145"/>
      <c r="P86" s="145"/>
    </row>
    <row r="87" spans="1:16" ht="18.75" hidden="1" x14ac:dyDescent="0.25">
      <c r="A87" s="148"/>
      <c r="B87" s="149"/>
      <c r="C87" s="149"/>
      <c r="D87" s="149"/>
      <c r="E87" s="155"/>
      <c r="F87" s="155"/>
      <c r="G87" s="153"/>
      <c r="H87" s="251" t="s">
        <v>33</v>
      </c>
      <c r="I87" s="161">
        <f ca="1">IFERROR(__xludf.DUMMYFUNCTION("IMPORTRANGE(""https://docs.google.com/spreadsheets/d/1eHaY18a8A9IcSdp1K8H6x8fbOy06t2VsZHhMHf-1x7Y/edit?usp=sharing"",""แผน!G21"")"),0)</f>
        <v>0</v>
      </c>
      <c r="J87" s="250">
        <v>0</v>
      </c>
      <c r="K87" s="163">
        <f ca="1">IF(I87&gt;0,J87*100/I87,0)</f>
        <v>0</v>
      </c>
      <c r="L87" s="145"/>
      <c r="M87" s="145"/>
      <c r="N87" s="145"/>
      <c r="O87" s="145"/>
      <c r="P87" s="145"/>
    </row>
    <row r="88" spans="1:16" ht="18.75" hidden="1" x14ac:dyDescent="0.25">
      <c r="A88" s="148"/>
      <c r="B88" s="149"/>
      <c r="C88" s="149"/>
      <c r="D88" s="149"/>
      <c r="E88" s="159" t="s">
        <v>40</v>
      </c>
      <c r="F88" s="155"/>
      <c r="G88" s="153"/>
      <c r="H88" s="251" t="s">
        <v>32</v>
      </c>
      <c r="I88" s="161">
        <f ca="1">IFERROR(__xludf.DUMMYFUNCTION("IMPORTRANGE(""https://docs.google.com/spreadsheets/d/1eHaY18a8A9IcSdp1K8H6x8fbOy06t2VsZHhMHf-1x7Y/edit?usp=sharing"",""แผน!D21"")"),0)</f>
        <v>0</v>
      </c>
      <c r="J88" s="250">
        <v>0</v>
      </c>
      <c r="K88" s="163">
        <f ca="1">IF(I88&gt;0,J88*100/I88,0)</f>
        <v>0</v>
      </c>
      <c r="L88" s="145"/>
      <c r="M88" s="145"/>
      <c r="N88" s="145"/>
      <c r="O88" s="145"/>
      <c r="P88" s="145"/>
    </row>
    <row r="89" spans="1:16" ht="18.75" hidden="1" x14ac:dyDescent="0.25">
      <c r="A89" s="148"/>
      <c r="B89" s="149"/>
      <c r="C89" s="149"/>
      <c r="D89" s="149"/>
      <c r="E89" s="155"/>
      <c r="F89" s="155"/>
      <c r="G89" s="153"/>
      <c r="H89" s="251" t="s">
        <v>33</v>
      </c>
      <c r="I89" s="161">
        <f ca="1">IFERROR(__xludf.DUMMYFUNCTION("IMPORTRANGE(""https://docs.google.com/spreadsheets/d/1eHaY18a8A9IcSdp1K8H6x8fbOy06t2VsZHhMHf-1x7Y/edit?usp=sharing"",""แผน!E21"")"),0)</f>
        <v>0</v>
      </c>
      <c r="J89" s="250">
        <v>0</v>
      </c>
      <c r="K89" s="163">
        <f ca="1">IF(I89&gt;0,J89*100/I89,0)</f>
        <v>0</v>
      </c>
      <c r="L89" s="145"/>
      <c r="M89" s="145"/>
      <c r="N89" s="145"/>
      <c r="O89" s="145"/>
      <c r="P89" s="145"/>
    </row>
    <row r="90" spans="1:16" ht="18.75" hidden="1" x14ac:dyDescent="0.25">
      <c r="A90" s="148"/>
      <c r="B90" s="149"/>
      <c r="C90" s="149"/>
      <c r="D90" s="154" t="s">
        <v>41</v>
      </c>
      <c r="E90" s="155"/>
      <c r="F90" s="155"/>
      <c r="G90" s="153"/>
      <c r="H90" s="164" t="s">
        <v>32</v>
      </c>
      <c r="I90" s="161">
        <f ca="1">IFERROR(__xludf.DUMMYFUNCTION("IMPORTRANGE(""https://docs.google.com/spreadsheets/d/1eHaY18a8A9IcSdp1K8H6x8fbOy06t2VsZHhMHf-1x7Y/edit?usp=sharing"",""แผน!J21"")"),0)</f>
        <v>0</v>
      </c>
      <c r="J90" s="250">
        <v>0</v>
      </c>
      <c r="K90" s="163">
        <f ca="1">IF(I90&gt;0,J90*100/I90,0)</f>
        <v>0</v>
      </c>
      <c r="L90" s="145"/>
      <c r="M90" s="145"/>
      <c r="N90" s="145"/>
      <c r="O90" s="145"/>
      <c r="P90" s="145"/>
    </row>
    <row r="91" spans="1:16" ht="19.5" hidden="1" x14ac:dyDescent="0.3">
      <c r="A91" s="125" t="s">
        <v>42</v>
      </c>
      <c r="B91" s="126"/>
      <c r="C91" s="127"/>
      <c r="D91" s="126"/>
      <c r="E91" s="126"/>
      <c r="F91" s="126"/>
      <c r="G91" s="128"/>
      <c r="H91" s="128"/>
      <c r="I91" s="129"/>
      <c r="J91" s="129"/>
      <c r="K91" s="130"/>
      <c r="L91" s="130"/>
      <c r="M91" s="130"/>
      <c r="N91" s="130"/>
      <c r="O91" s="130"/>
      <c r="P91" s="130"/>
    </row>
    <row r="92" spans="1:16" ht="19.5" hidden="1" x14ac:dyDescent="0.3">
      <c r="A92" s="131"/>
      <c r="B92" s="132" t="s">
        <v>43</v>
      </c>
      <c r="C92" s="26"/>
      <c r="D92" s="133"/>
      <c r="E92" s="26"/>
      <c r="F92" s="26"/>
      <c r="G92" s="29"/>
      <c r="H92" s="134" t="s">
        <v>44</v>
      </c>
      <c r="I92" s="135">
        <f ca="1">I108</f>
        <v>0</v>
      </c>
      <c r="J92" s="135">
        <f>J108</f>
        <v>0</v>
      </c>
      <c r="K92" s="33">
        <f ca="1">IF(I92&gt;0,J92*100/I92,0)</f>
        <v>0</v>
      </c>
      <c r="L92" s="32"/>
      <c r="M92" s="32"/>
      <c r="N92" s="32"/>
      <c r="O92" s="32"/>
      <c r="P92" s="32"/>
    </row>
    <row r="93" spans="1:16" ht="19.5" hidden="1" x14ac:dyDescent="0.3">
      <c r="A93" s="131"/>
      <c r="B93" s="26"/>
      <c r="C93" s="26"/>
      <c r="D93" s="133"/>
      <c r="E93" s="26"/>
      <c r="F93" s="26"/>
      <c r="G93" s="29"/>
      <c r="H93" s="134" t="s">
        <v>33</v>
      </c>
      <c r="I93" s="135">
        <f ca="1">I109</f>
        <v>0</v>
      </c>
      <c r="J93" s="135">
        <f>J109</f>
        <v>0</v>
      </c>
      <c r="K93" s="33">
        <f ca="1">IF(I93&gt;0,J93*100/I93,0)</f>
        <v>0</v>
      </c>
      <c r="L93" s="32"/>
      <c r="M93" s="32"/>
      <c r="N93" s="32"/>
      <c r="O93" s="32"/>
      <c r="P93" s="32"/>
    </row>
    <row r="94" spans="1:16" ht="19.5" hidden="1" x14ac:dyDescent="0.3">
      <c r="A94" s="136"/>
      <c r="B94" s="41"/>
      <c r="C94" s="197" t="s">
        <v>16</v>
      </c>
      <c r="D94" s="397" t="s">
        <v>17</v>
      </c>
      <c r="E94" s="41"/>
      <c r="F94" s="41"/>
      <c r="G94" s="43"/>
      <c r="H94" s="139" t="s">
        <v>12</v>
      </c>
      <c r="I94" s="45"/>
      <c r="J94" s="45"/>
      <c r="K94" s="46"/>
      <c r="L94" s="140">
        <f ca="1">L95+L96</f>
        <v>0</v>
      </c>
      <c r="M94" s="140">
        <f ca="1">M95+M96</f>
        <v>0</v>
      </c>
      <c r="N94" s="140">
        <f ca="1">N95+N96</f>
        <v>0</v>
      </c>
      <c r="O94" s="140">
        <f ca="1">IF(L94&gt;0,N94*100/L94,0)</f>
        <v>0</v>
      </c>
      <c r="P94" s="140">
        <f ca="1">IF(M94&gt;0,N94*100/M94,0)</f>
        <v>0</v>
      </c>
    </row>
    <row r="95" spans="1:16" ht="18.75" hidden="1" x14ac:dyDescent="0.25">
      <c r="A95" s="136"/>
      <c r="B95" s="41"/>
      <c r="C95" s="41"/>
      <c r="D95" s="41"/>
      <c r="E95" s="279" t="s">
        <v>18</v>
      </c>
      <c r="F95" s="41"/>
      <c r="G95" s="43"/>
      <c r="H95" s="141" t="s">
        <v>12</v>
      </c>
      <c r="I95" s="45"/>
      <c r="J95" s="45"/>
      <c r="K95" s="46"/>
      <c r="L95" s="50">
        <f>L98+L101</f>
        <v>0</v>
      </c>
      <c r="M95" s="50">
        <f>M98+M101</f>
        <v>0</v>
      </c>
      <c r="N95" s="50">
        <f>N98+N101</f>
        <v>0</v>
      </c>
      <c r="O95" s="50">
        <f>IF(L95&gt;0,N95*100/L95,0)</f>
        <v>0</v>
      </c>
      <c r="P95" s="50">
        <f>IF(M95&gt;0,N95*100/M95,0)</f>
        <v>0</v>
      </c>
    </row>
    <row r="96" spans="1:16" ht="18.75" hidden="1" x14ac:dyDescent="0.25">
      <c r="A96" s="136"/>
      <c r="B96" s="41"/>
      <c r="C96" s="41"/>
      <c r="D96" s="41"/>
      <c r="E96" s="254" t="s">
        <v>19</v>
      </c>
      <c r="F96" s="41"/>
      <c r="G96" s="43"/>
      <c r="H96" s="142" t="s">
        <v>12</v>
      </c>
      <c r="I96" s="45"/>
      <c r="J96" s="45"/>
      <c r="K96" s="46"/>
      <c r="L96" s="47">
        <f ca="1">L99+L102</f>
        <v>0</v>
      </c>
      <c r="M96" s="47">
        <f ca="1">M99+M102</f>
        <v>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</row>
    <row r="97" spans="1:16" ht="18.75" hidden="1" x14ac:dyDescent="0.25">
      <c r="A97" s="136"/>
      <c r="B97" s="41"/>
      <c r="C97" s="41"/>
      <c r="D97" s="42" t="s">
        <v>20</v>
      </c>
      <c r="E97" s="41"/>
      <c r="F97" s="41"/>
      <c r="G97" s="43"/>
      <c r="H97" s="143" t="s">
        <v>12</v>
      </c>
      <c r="I97" s="144"/>
      <c r="J97" s="144"/>
      <c r="K97" s="145"/>
      <c r="L97" s="47">
        <f ca="1">L98+L99</f>
        <v>0</v>
      </c>
      <c r="M97" s="47">
        <f ca="1">M98+M99</f>
        <v>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</row>
    <row r="98" spans="1:16" ht="18.75" hidden="1" x14ac:dyDescent="0.25">
      <c r="A98" s="136"/>
      <c r="B98" s="41"/>
      <c r="C98" s="41"/>
      <c r="D98" s="41"/>
      <c r="E98" s="279" t="s">
        <v>34</v>
      </c>
      <c r="F98" s="41"/>
      <c r="G98" s="43"/>
      <c r="H98" s="146" t="s">
        <v>12</v>
      </c>
      <c r="I98" s="144"/>
      <c r="J98" s="144"/>
      <c r="K98" s="145"/>
      <c r="L98" s="50">
        <v>0</v>
      </c>
      <c r="M98" s="50">
        <v>0</v>
      </c>
      <c r="N98" s="50">
        <v>0</v>
      </c>
      <c r="O98" s="50">
        <f>IF(L98&gt;0,N98*100/L98,0)</f>
        <v>0</v>
      </c>
      <c r="P98" s="50">
        <f>IF(M98&gt;0,N98*100/M98,0)</f>
        <v>0</v>
      </c>
    </row>
    <row r="99" spans="1:16" ht="18.75" hidden="1" x14ac:dyDescent="0.25">
      <c r="A99" s="136"/>
      <c r="B99" s="41"/>
      <c r="C99" s="41"/>
      <c r="D99" s="41"/>
      <c r="E99" s="254" t="s">
        <v>35</v>
      </c>
      <c r="F99" s="41"/>
      <c r="G99" s="43"/>
      <c r="H99" s="143" t="s">
        <v>12</v>
      </c>
      <c r="I99" s="144"/>
      <c r="J99" s="144"/>
      <c r="K99" s="145"/>
      <c r="L99" s="47">
        <f ca="1">IFERROR(__xludf.DUMMYFUNCTION("IMPORTRANGE(""https://docs.google.com/spreadsheets/d/1-uDff_7J0KD5mKrp0Vvzr7lt3OU09vwQwhkpOPPYv2Y/edit?usp=sharing"",""งบพรบ!AW21"")"),0)</f>
        <v>0</v>
      </c>
      <c r="M99" s="47">
        <f ca="1">IFERROR(__xludf.DUMMYFUNCTION("IMPORTRANGE(""https://docs.google.com/spreadsheets/d/1-uDff_7J0KD5mKrp0Vvzr7lt3OU09vwQwhkpOPPYv2Y/edit?usp=sharing"",""งบพรบ!BB21"")"),0)</f>
        <v>0</v>
      </c>
      <c r="N99" s="47">
        <f ca="1">IFERROR(__xludf.DUMMYFUNCTION("IMPORTRANGE(""https://docs.google.com/spreadsheets/d/1-uDff_7J0KD5mKrp0Vvzr7lt3OU09vwQwhkpOPPYv2Y/edit?usp=sharing"",""งบพรบ!BD21"")"),0)</f>
        <v>0</v>
      </c>
      <c r="O99" s="47">
        <f ca="1">IF(L99&gt;0,N99*100/L99,0)</f>
        <v>0</v>
      </c>
      <c r="P99" s="47">
        <f ca="1">IF(M99&gt;0,N99*100/M99,0)</f>
        <v>0</v>
      </c>
    </row>
    <row r="100" spans="1:16" ht="18.75" hidden="1" x14ac:dyDescent="0.25">
      <c r="A100" s="136"/>
      <c r="B100" s="41"/>
      <c r="C100" s="41"/>
      <c r="D100" s="42" t="s">
        <v>21</v>
      </c>
      <c r="E100" s="41"/>
      <c r="F100" s="41"/>
      <c r="G100" s="43"/>
      <c r="H100" s="147" t="s">
        <v>12</v>
      </c>
      <c r="I100" s="144"/>
      <c r="J100" s="144"/>
      <c r="K100" s="145"/>
      <c r="L100" s="47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</row>
    <row r="101" spans="1:16" ht="18.75" hidden="1" x14ac:dyDescent="0.25">
      <c r="A101" s="136"/>
      <c r="B101" s="41"/>
      <c r="C101" s="41"/>
      <c r="D101" s="41"/>
      <c r="E101" s="279" t="s">
        <v>18</v>
      </c>
      <c r="F101" s="41"/>
      <c r="G101" s="43"/>
      <c r="H101" s="146" t="s">
        <v>12</v>
      </c>
      <c r="I101" s="144"/>
      <c r="J101" s="144"/>
      <c r="K101" s="145"/>
      <c r="L101" s="50">
        <v>0</v>
      </c>
      <c r="M101" s="50">
        <v>0</v>
      </c>
      <c r="N101" s="50">
        <v>0</v>
      </c>
      <c r="O101" s="50">
        <f>IF(L101&gt;0,N101*100/L101,0)</f>
        <v>0</v>
      </c>
      <c r="P101" s="50">
        <f>IF(M101&gt;0,N101*100/M101,0)</f>
        <v>0</v>
      </c>
    </row>
    <row r="102" spans="1:16" ht="18.75" hidden="1" x14ac:dyDescent="0.25">
      <c r="A102" s="136"/>
      <c r="B102" s="41"/>
      <c r="C102" s="41"/>
      <c r="D102" s="41"/>
      <c r="E102" s="254" t="s">
        <v>19</v>
      </c>
      <c r="F102" s="41"/>
      <c r="G102" s="43"/>
      <c r="H102" s="147" t="s">
        <v>12</v>
      </c>
      <c r="I102" s="144"/>
      <c r="J102" s="144"/>
      <c r="K102" s="145"/>
      <c r="L102" s="47">
        <f ca="1">IFERROR(__xludf.DUMMYFUNCTION("IMPORTRANGE(""https://docs.google.com/spreadsheets/d/1-uDff_7J0KD5mKrp0Vvzr7lt3OU09vwQwhkpOPPYv2Y/edit?usp=sharing"",""งบพรบ!AZ21"")"),0)</f>
        <v>0</v>
      </c>
      <c r="M102" s="47">
        <f ca="1">IFERROR(__xludf.DUMMYFUNCTION("IMPORTRANGE(""https://docs.google.com/spreadsheets/d/1-uDff_7J0KD5mKrp0Vvzr7lt3OU09vwQwhkpOPPYv2Y/edit?usp=sharing"",""งบพรบ!BC21"")"),0)</f>
        <v>0</v>
      </c>
      <c r="N102" s="47">
        <f ca="1">IFERROR(__xludf.DUMMYFUNCTION("IMPORTRANGE(""https://docs.google.com/spreadsheets/d/1-uDff_7J0KD5mKrp0Vvzr7lt3OU09vwQwhkpOPPYv2Y/edit?usp=sharing"",""งบพรบ!BE21"")"),0)</f>
        <v>0</v>
      </c>
      <c r="O102" s="47">
        <f ca="1">IF(L102&gt;0,N102*100/L102,0)</f>
        <v>0</v>
      </c>
      <c r="P102" s="47">
        <f ca="1">IF(M102&gt;0,N102*100/M102,0)</f>
        <v>0</v>
      </c>
    </row>
    <row r="103" spans="1:16" ht="19.5" hidden="1" x14ac:dyDescent="0.3">
      <c r="A103" s="148"/>
      <c r="B103" s="149"/>
      <c r="C103" s="197" t="s">
        <v>16</v>
      </c>
      <c r="D103" s="395" t="s">
        <v>36</v>
      </c>
      <c r="E103" s="151"/>
      <c r="F103" s="151"/>
      <c r="G103" s="152"/>
      <c r="H103" s="153"/>
      <c r="I103" s="144"/>
      <c r="J103" s="45"/>
      <c r="K103" s="46"/>
      <c r="L103" s="46"/>
      <c r="M103" s="46"/>
      <c r="N103" s="46"/>
      <c r="O103" s="145"/>
      <c r="P103" s="145"/>
    </row>
    <row r="104" spans="1:16" ht="12.75" hidden="1" x14ac:dyDescent="0.2">
      <c r="A104" s="165"/>
      <c r="B104" s="166"/>
      <c r="C104" s="166"/>
      <c r="D104" s="16"/>
      <c r="E104" s="16"/>
      <c r="F104" s="16"/>
      <c r="G104" s="17"/>
      <c r="H104" s="17"/>
      <c r="I104" s="18"/>
      <c r="J104" s="18"/>
      <c r="K104" s="19"/>
      <c r="L104" s="19"/>
      <c r="M104" s="19"/>
      <c r="N104" s="19"/>
      <c r="O104" s="19"/>
      <c r="P104" s="19"/>
    </row>
    <row r="105" spans="1:16" ht="12.75" hidden="1" x14ac:dyDescent="0.2">
      <c r="A105" s="165"/>
      <c r="B105" s="166"/>
      <c r="C105" s="166"/>
      <c r="D105" s="16"/>
      <c r="E105" s="16"/>
      <c r="F105" s="16"/>
      <c r="G105" s="17"/>
      <c r="H105" s="17"/>
      <c r="I105" s="18"/>
      <c r="J105" s="18"/>
      <c r="K105" s="19"/>
      <c r="L105" s="19"/>
      <c r="M105" s="19"/>
      <c r="N105" s="19"/>
      <c r="O105" s="19"/>
      <c r="P105" s="19"/>
    </row>
    <row r="106" spans="1:16" ht="12.75" hidden="1" x14ac:dyDescent="0.2">
      <c r="A106" s="165"/>
      <c r="B106" s="166"/>
      <c r="C106" s="166"/>
      <c r="D106" s="166"/>
      <c r="E106" s="16"/>
      <c r="F106" s="16"/>
      <c r="G106" s="17"/>
      <c r="H106" s="17"/>
      <c r="I106" s="18"/>
      <c r="J106" s="18"/>
      <c r="K106" s="19"/>
      <c r="L106" s="19"/>
      <c r="M106" s="19"/>
      <c r="N106" s="19"/>
      <c r="O106" s="19"/>
      <c r="P106" s="19"/>
    </row>
    <row r="107" spans="1:16" ht="19.5" hidden="1" x14ac:dyDescent="0.3">
      <c r="A107" s="148"/>
      <c r="B107" s="149"/>
      <c r="C107" s="149"/>
      <c r="D107" s="167" t="s">
        <v>45</v>
      </c>
      <c r="E107" s="168"/>
      <c r="F107" s="155"/>
      <c r="G107" s="153"/>
      <c r="H107" s="43"/>
      <c r="I107" s="45"/>
      <c r="J107" s="45"/>
      <c r="K107" s="46"/>
      <c r="L107" s="46"/>
      <c r="M107" s="46"/>
      <c r="N107" s="46"/>
      <c r="O107" s="145"/>
      <c r="P107" s="145"/>
    </row>
    <row r="108" spans="1:16" ht="18.75" hidden="1" x14ac:dyDescent="0.25">
      <c r="A108" s="148"/>
      <c r="B108" s="149"/>
      <c r="C108" s="149"/>
      <c r="D108" s="159" t="s">
        <v>46</v>
      </c>
      <c r="E108" s="155"/>
      <c r="F108" s="155"/>
      <c r="G108" s="153"/>
      <c r="H108" s="44" t="s">
        <v>44</v>
      </c>
      <c r="I108" s="169">
        <f ca="1">IFERROR(__xludf.DUMMYFUNCTION("IMPORTRANGE(""https://docs.google.com/spreadsheets/d/1eHaY18a8A9IcSdp1K8H6x8fbOy06t2VsZHhMHf-1x7Y/edit?usp=sharing"",""แผน!N21"")"),0)</f>
        <v>0</v>
      </c>
      <c r="J108" s="250">
        <v>0</v>
      </c>
      <c r="K108" s="47">
        <f ca="1">IF(I108&gt;0,J108*100/I108,0)</f>
        <v>0</v>
      </c>
      <c r="L108" s="46"/>
      <c r="M108" s="46"/>
      <c r="N108" s="46"/>
      <c r="O108" s="145"/>
      <c r="P108" s="145"/>
    </row>
    <row r="109" spans="1:16" ht="18.75" hidden="1" x14ac:dyDescent="0.25">
      <c r="A109" s="148"/>
      <c r="B109" s="149"/>
      <c r="C109" s="149"/>
      <c r="D109" s="159" t="s">
        <v>47</v>
      </c>
      <c r="E109" s="155"/>
      <c r="F109" s="155"/>
      <c r="G109" s="153"/>
      <c r="H109" s="44" t="s">
        <v>33</v>
      </c>
      <c r="I109" s="169">
        <f ca="1">IFERROR(__xludf.DUMMYFUNCTION("IMPORTRANGE(""https://docs.google.com/spreadsheets/d/1eHaY18a8A9IcSdp1K8H6x8fbOy06t2VsZHhMHf-1x7Y/edit?usp=sharing"",""แผน!O21"")"),0)</f>
        <v>0</v>
      </c>
      <c r="J109" s="250">
        <v>0</v>
      </c>
      <c r="K109" s="47">
        <f ca="1">IF(I109&gt;0,J109*100/I109,0)</f>
        <v>0</v>
      </c>
      <c r="L109" s="46"/>
      <c r="M109" s="46"/>
      <c r="N109" s="46"/>
      <c r="O109" s="145"/>
      <c r="P109" s="145"/>
    </row>
    <row r="110" spans="1:16" ht="12.75" hidden="1" x14ac:dyDescent="0.2">
      <c r="A110" s="165"/>
      <c r="B110" s="166"/>
      <c r="C110" s="166"/>
      <c r="D110" s="16"/>
      <c r="E110" s="16"/>
      <c r="F110" s="16"/>
      <c r="G110" s="17"/>
      <c r="H110" s="17"/>
      <c r="I110" s="18"/>
      <c r="J110" s="18"/>
      <c r="K110" s="19"/>
      <c r="L110" s="19"/>
      <c r="M110" s="19"/>
      <c r="N110" s="19"/>
      <c r="O110" s="19"/>
      <c r="P110" s="19"/>
    </row>
    <row r="111" spans="1:16" ht="12.75" hidden="1" x14ac:dyDescent="0.2">
      <c r="A111" s="165"/>
      <c r="B111" s="166"/>
      <c r="C111" s="166"/>
      <c r="D111" s="16"/>
      <c r="E111" s="16"/>
      <c r="F111" s="16"/>
      <c r="G111" s="17"/>
      <c r="H111" s="17"/>
      <c r="I111" s="18"/>
      <c r="J111" s="18"/>
      <c r="K111" s="19"/>
      <c r="L111" s="19"/>
      <c r="M111" s="19"/>
      <c r="N111" s="19"/>
      <c r="O111" s="19"/>
      <c r="P111" s="19"/>
    </row>
    <row r="112" spans="1:16" ht="12.75" hidden="1" x14ac:dyDescent="0.2">
      <c r="A112" s="165"/>
      <c r="B112" s="166"/>
      <c r="C112" s="166"/>
      <c r="D112" s="16"/>
      <c r="E112" s="16"/>
      <c r="F112" s="16"/>
      <c r="G112" s="17"/>
      <c r="H112" s="17"/>
      <c r="I112" s="18"/>
      <c r="J112" s="18"/>
      <c r="K112" s="19"/>
      <c r="L112" s="19"/>
      <c r="M112" s="19"/>
      <c r="N112" s="19"/>
      <c r="O112" s="19"/>
      <c r="P112" s="19"/>
    </row>
    <row r="113" spans="1:16" ht="12.75" hidden="1" x14ac:dyDescent="0.2">
      <c r="A113" s="165"/>
      <c r="B113" s="166"/>
      <c r="C113" s="166"/>
      <c r="D113" s="16"/>
      <c r="E113" s="16"/>
      <c r="F113" s="16"/>
      <c r="G113" s="17"/>
      <c r="H113" s="17"/>
      <c r="I113" s="18"/>
      <c r="J113" s="18"/>
      <c r="K113" s="19"/>
      <c r="L113" s="19"/>
      <c r="M113" s="19"/>
      <c r="N113" s="19"/>
      <c r="O113" s="19"/>
      <c r="P113" s="19"/>
    </row>
    <row r="114" spans="1:16" ht="12.75" hidden="1" x14ac:dyDescent="0.2">
      <c r="A114" s="165"/>
      <c r="B114" s="166"/>
      <c r="C114" s="166"/>
      <c r="D114" s="16"/>
      <c r="E114" s="16"/>
      <c r="F114" s="16"/>
      <c r="G114" s="17"/>
      <c r="H114" s="17"/>
      <c r="I114" s="18"/>
      <c r="J114" s="18"/>
      <c r="K114" s="19"/>
      <c r="L114" s="19"/>
      <c r="M114" s="19"/>
      <c r="N114" s="19"/>
      <c r="O114" s="19"/>
      <c r="P114" s="19"/>
    </row>
    <row r="115" spans="1:16" ht="12.75" hidden="1" x14ac:dyDescent="0.2">
      <c r="A115" s="165"/>
      <c r="B115" s="166"/>
      <c r="C115" s="166"/>
      <c r="D115" s="16"/>
      <c r="E115" s="16"/>
      <c r="F115" s="16"/>
      <c r="G115" s="17"/>
      <c r="H115" s="17"/>
      <c r="I115" s="18"/>
      <c r="J115" s="18"/>
      <c r="K115" s="19"/>
      <c r="L115" s="19"/>
      <c r="M115" s="19"/>
      <c r="N115" s="19"/>
      <c r="O115" s="19"/>
      <c r="P115" s="19"/>
    </row>
    <row r="116" spans="1:16" ht="12.75" hidden="1" x14ac:dyDescent="0.2">
      <c r="A116" s="165"/>
      <c r="B116" s="166"/>
      <c r="C116" s="166"/>
      <c r="D116" s="16"/>
      <c r="E116" s="16"/>
      <c r="F116" s="16"/>
      <c r="G116" s="17"/>
      <c r="H116" s="17"/>
      <c r="I116" s="18"/>
      <c r="J116" s="18"/>
      <c r="K116" s="19"/>
      <c r="L116" s="19"/>
      <c r="M116" s="19"/>
      <c r="N116" s="19"/>
      <c r="O116" s="19"/>
      <c r="P116" s="19"/>
    </row>
    <row r="117" spans="1:16" ht="18.75" hidden="1" x14ac:dyDescent="0.25">
      <c r="A117" s="148"/>
      <c r="B117" s="149"/>
      <c r="C117" s="149"/>
      <c r="D117" s="159" t="s">
        <v>48</v>
      </c>
      <c r="E117" s="155"/>
      <c r="F117" s="155"/>
      <c r="G117" s="153"/>
      <c r="H117" s="251" t="s">
        <v>33</v>
      </c>
      <c r="I117" s="161">
        <f ca="1">IFERROR(__xludf.DUMMYFUNCTION("IMPORTRANGE(""https://docs.google.com/spreadsheets/d/1eHaY18a8A9IcSdp1K8H6x8fbOy06t2VsZHhMHf-1x7Y/edit?usp=sharing"",""แผน!R21"")"),0)</f>
        <v>0</v>
      </c>
      <c r="J117" s="250">
        <v>0</v>
      </c>
      <c r="K117" s="47">
        <f ca="1">IF(I117&gt;0,J117*100/I117,0)</f>
        <v>0</v>
      </c>
      <c r="L117" s="46"/>
      <c r="M117" s="46"/>
      <c r="N117" s="46"/>
      <c r="O117" s="145"/>
      <c r="P117" s="145"/>
    </row>
    <row r="118" spans="1:16" ht="12.75" hidden="1" x14ac:dyDescent="0.2">
      <c r="A118" s="165"/>
      <c r="B118" s="166"/>
      <c r="C118" s="166"/>
      <c r="D118" s="166"/>
      <c r="E118" s="16"/>
      <c r="F118" s="16"/>
      <c r="G118" s="17"/>
      <c r="H118" s="17"/>
      <c r="I118" s="18"/>
      <c r="J118" s="18"/>
      <c r="K118" s="19"/>
      <c r="L118" s="19"/>
      <c r="M118" s="19"/>
      <c r="N118" s="19"/>
      <c r="O118" s="19"/>
      <c r="P118" s="19"/>
    </row>
    <row r="119" spans="1:16" ht="12.75" hidden="1" x14ac:dyDescent="0.2">
      <c r="A119" s="165"/>
      <c r="B119" s="166"/>
      <c r="C119" s="166"/>
      <c r="D119" s="166"/>
      <c r="E119" s="16"/>
      <c r="F119" s="16"/>
      <c r="G119" s="17"/>
      <c r="H119" s="17"/>
      <c r="I119" s="18"/>
      <c r="J119" s="18"/>
      <c r="K119" s="19"/>
      <c r="L119" s="19"/>
      <c r="M119" s="19"/>
      <c r="N119" s="19"/>
      <c r="O119" s="19"/>
      <c r="P119" s="19"/>
    </row>
    <row r="120" spans="1:16" ht="12.75" hidden="1" x14ac:dyDescent="0.2">
      <c r="A120" s="165"/>
      <c r="B120" s="166"/>
      <c r="C120" s="166"/>
      <c r="D120" s="166"/>
      <c r="E120" s="16"/>
      <c r="F120" s="16"/>
      <c r="G120" s="17"/>
      <c r="H120" s="17"/>
      <c r="I120" s="18"/>
      <c r="J120" s="18"/>
      <c r="K120" s="19"/>
      <c r="L120" s="19"/>
      <c r="M120" s="19"/>
      <c r="N120" s="19"/>
      <c r="O120" s="19"/>
      <c r="P120" s="19"/>
    </row>
    <row r="121" spans="1:16" ht="12.75" hidden="1" x14ac:dyDescent="0.2">
      <c r="A121" s="165"/>
      <c r="B121" s="166"/>
      <c r="C121" s="166"/>
      <c r="D121" s="166"/>
      <c r="E121" s="16"/>
      <c r="F121" s="16"/>
      <c r="G121" s="17"/>
      <c r="H121" s="17"/>
      <c r="I121" s="18"/>
      <c r="J121" s="18"/>
      <c r="K121" s="19"/>
      <c r="L121" s="19"/>
      <c r="M121" s="19"/>
      <c r="N121" s="19"/>
      <c r="O121" s="19"/>
      <c r="P121" s="19"/>
    </row>
    <row r="122" spans="1:16" ht="12.75" hidden="1" x14ac:dyDescent="0.2">
      <c r="A122" s="165"/>
      <c r="B122" s="166"/>
      <c r="C122" s="166"/>
      <c r="D122" s="166"/>
      <c r="E122" s="16"/>
      <c r="F122" s="16"/>
      <c r="G122" s="17"/>
      <c r="H122" s="17"/>
      <c r="I122" s="18"/>
      <c r="J122" s="18"/>
      <c r="K122" s="19"/>
      <c r="L122" s="19"/>
      <c r="M122" s="19"/>
      <c r="N122" s="19"/>
      <c r="O122" s="19"/>
      <c r="P122" s="19"/>
    </row>
    <row r="123" spans="1:16" ht="19.5" hidden="1" x14ac:dyDescent="0.3">
      <c r="A123" s="170" t="s">
        <v>49</v>
      </c>
      <c r="B123" s="16"/>
      <c r="C123" s="171"/>
      <c r="D123" s="16"/>
      <c r="E123" s="16"/>
      <c r="F123" s="16"/>
      <c r="G123" s="16"/>
      <c r="H123" s="16"/>
      <c r="I123" s="172"/>
      <c r="J123" s="172"/>
      <c r="K123" s="173"/>
      <c r="L123" s="19"/>
      <c r="M123" s="19"/>
      <c r="N123" s="19"/>
      <c r="O123" s="19"/>
      <c r="P123" s="19"/>
    </row>
    <row r="124" spans="1:16" ht="19.5" hidden="1" x14ac:dyDescent="0.3">
      <c r="A124" s="174"/>
      <c r="B124" s="178" t="s">
        <v>50</v>
      </c>
      <c r="C124" s="171"/>
      <c r="D124" s="166"/>
      <c r="E124" s="16"/>
      <c r="F124" s="16"/>
      <c r="G124" s="17"/>
      <c r="H124" s="17"/>
      <c r="I124" s="176">
        <v>0</v>
      </c>
      <c r="J124" s="176">
        <v>0</v>
      </c>
      <c r="K124" s="177">
        <v>0</v>
      </c>
      <c r="L124" s="19"/>
      <c r="M124" s="19"/>
      <c r="N124" s="19"/>
      <c r="O124" s="19"/>
      <c r="P124" s="19"/>
    </row>
    <row r="125" spans="1:16" ht="19.5" hidden="1" x14ac:dyDescent="0.3">
      <c r="A125" s="174"/>
      <c r="B125" s="16"/>
      <c r="C125" s="178" t="s">
        <v>16</v>
      </c>
      <c r="D125" s="402" t="s">
        <v>17</v>
      </c>
      <c r="E125" s="16"/>
      <c r="F125" s="16"/>
      <c r="G125" s="17"/>
      <c r="H125" s="180" t="s">
        <v>12</v>
      </c>
      <c r="I125" s="18"/>
      <c r="J125" s="18"/>
      <c r="K125" s="19"/>
      <c r="L125" s="181">
        <f ca="1">L126+L127</f>
        <v>0</v>
      </c>
      <c r="M125" s="181">
        <f ca="1">M126+M127</f>
        <v>0</v>
      </c>
      <c r="N125" s="181">
        <f ca="1">N126+N127</f>
        <v>0</v>
      </c>
      <c r="O125" s="181">
        <f ca="1">IF(L125&gt;0,N125*100/L125,0)</f>
        <v>0</v>
      </c>
      <c r="P125" s="181">
        <f ca="1">IF(M125&gt;0,N125*100/M125,0)</f>
        <v>0</v>
      </c>
    </row>
    <row r="126" spans="1:16" ht="18.75" hidden="1" x14ac:dyDescent="0.25">
      <c r="A126" s="174"/>
      <c r="B126" s="16"/>
      <c r="C126" s="16"/>
      <c r="D126" s="16"/>
      <c r="E126" s="182" t="s">
        <v>18</v>
      </c>
      <c r="F126" s="16"/>
      <c r="G126" s="17"/>
      <c r="H126" s="183" t="s">
        <v>12</v>
      </c>
      <c r="I126" s="18"/>
      <c r="J126" s="18"/>
      <c r="K126" s="19"/>
      <c r="L126" s="184">
        <f>L129+L132</f>
        <v>0</v>
      </c>
      <c r="M126" s="184">
        <f>M129+M132</f>
        <v>0</v>
      </c>
      <c r="N126" s="184">
        <f>N129+N132</f>
        <v>0</v>
      </c>
      <c r="O126" s="184">
        <f>IF(L126&gt;0,N126*100/L126,0)</f>
        <v>0</v>
      </c>
      <c r="P126" s="184">
        <f>IF(M126&gt;0,N126*100/M126,0)</f>
        <v>0</v>
      </c>
    </row>
    <row r="127" spans="1:16" ht="18.75" hidden="1" x14ac:dyDescent="0.25">
      <c r="A127" s="174"/>
      <c r="B127" s="16"/>
      <c r="C127" s="16"/>
      <c r="D127" s="16"/>
      <c r="E127" s="185" t="s">
        <v>19</v>
      </c>
      <c r="F127" s="16"/>
      <c r="G127" s="17"/>
      <c r="H127" s="186" t="s">
        <v>12</v>
      </c>
      <c r="I127" s="18"/>
      <c r="J127" s="18"/>
      <c r="K127" s="19"/>
      <c r="L127" s="177">
        <f ca="1">L130+L133</f>
        <v>0</v>
      </c>
      <c r="M127" s="177">
        <f ca="1">M130+M133</f>
        <v>0</v>
      </c>
      <c r="N127" s="177">
        <f ca="1">N130+N133</f>
        <v>0</v>
      </c>
      <c r="O127" s="177">
        <f ca="1">IF(L127&gt;0,N127*100/L127,0)</f>
        <v>0</v>
      </c>
      <c r="P127" s="177">
        <f ca="1">IF(M127&gt;0,N127*100/M127,0)</f>
        <v>0</v>
      </c>
    </row>
    <row r="128" spans="1:16" ht="18.75" hidden="1" x14ac:dyDescent="0.25">
      <c r="A128" s="174"/>
      <c r="B128" s="16"/>
      <c r="C128" s="16"/>
      <c r="D128" s="401" t="s">
        <v>20</v>
      </c>
      <c r="E128" s="16"/>
      <c r="F128" s="16"/>
      <c r="G128" s="17"/>
      <c r="H128" s="188" t="s">
        <v>12</v>
      </c>
      <c r="I128" s="18"/>
      <c r="J128" s="18"/>
      <c r="K128" s="19"/>
      <c r="L128" s="177">
        <f ca="1">L129+L130</f>
        <v>0</v>
      </c>
      <c r="M128" s="177">
        <f ca="1">M129+M130</f>
        <v>0</v>
      </c>
      <c r="N128" s="177">
        <f ca="1">N129+N130</f>
        <v>0</v>
      </c>
      <c r="O128" s="177">
        <f ca="1">IF(L128&gt;0,N128*100/L128,0)</f>
        <v>0</v>
      </c>
      <c r="P128" s="177">
        <f ca="1">IF(M128&gt;0,N128*100/M128,0)</f>
        <v>0</v>
      </c>
    </row>
    <row r="129" spans="1:16" ht="18.75" hidden="1" x14ac:dyDescent="0.25">
      <c r="A129" s="174"/>
      <c r="B129" s="16"/>
      <c r="C129" s="16"/>
      <c r="D129" s="16"/>
      <c r="E129" s="182" t="s">
        <v>34</v>
      </c>
      <c r="F129" s="16"/>
      <c r="G129" s="17"/>
      <c r="H129" s="189" t="s">
        <v>12</v>
      </c>
      <c r="I129" s="18"/>
      <c r="J129" s="18"/>
      <c r="K129" s="19"/>
      <c r="L129" s="184">
        <v>0</v>
      </c>
      <c r="M129" s="184">
        <v>0</v>
      </c>
      <c r="N129" s="184">
        <v>0</v>
      </c>
      <c r="O129" s="184">
        <f>IF(L129&gt;0,N129*100/L129,0)</f>
        <v>0</v>
      </c>
      <c r="P129" s="184">
        <f>IF(M129&gt;0,N129*100/M129,0)</f>
        <v>0</v>
      </c>
    </row>
    <row r="130" spans="1:16" ht="18.75" hidden="1" x14ac:dyDescent="0.25">
      <c r="A130" s="174"/>
      <c r="B130" s="16"/>
      <c r="C130" s="16"/>
      <c r="D130" s="16"/>
      <c r="E130" s="185" t="s">
        <v>35</v>
      </c>
      <c r="F130" s="16"/>
      <c r="G130" s="17"/>
      <c r="H130" s="188" t="s">
        <v>12</v>
      </c>
      <c r="I130" s="18"/>
      <c r="J130" s="18"/>
      <c r="K130" s="19"/>
      <c r="L130" s="177">
        <f ca="1">IFERROR(__xludf.DUMMYFUNCTION("IMPORTRANGE(""https://docs.google.com/spreadsheets/d/1-uDff_7J0KD5mKrp0Vvzr7lt3OU09vwQwhkpOPPYv2Y/edit?usp=sharing"",""งบพรบ!BG21"")"),0)</f>
        <v>0</v>
      </c>
      <c r="M130" s="177">
        <f ca="1">IFERROR(__xludf.DUMMYFUNCTION("IMPORTRANGE(""https://docs.google.com/spreadsheets/d/1-uDff_7J0KD5mKrp0Vvzr7lt3OU09vwQwhkpOPPYv2Y/edit?usp=sharing"",""งบพรบ!BL21"")"),0)</f>
        <v>0</v>
      </c>
      <c r="N130" s="177">
        <f ca="1">IFERROR(__xludf.DUMMYFUNCTION("IMPORTRANGE(""https://docs.google.com/spreadsheets/d/1-uDff_7J0KD5mKrp0Vvzr7lt3OU09vwQwhkpOPPYv2Y/edit?usp=sharing"",""งบพรบ!BN21"")"),0)</f>
        <v>0</v>
      </c>
      <c r="O130" s="177">
        <f ca="1">IF(L130&gt;0,N130*100/L130,0)</f>
        <v>0</v>
      </c>
      <c r="P130" s="177">
        <f ca="1">IF(M130&gt;0,N130*100/M130,0)</f>
        <v>0</v>
      </c>
    </row>
    <row r="131" spans="1:16" ht="18.75" hidden="1" x14ac:dyDescent="0.25">
      <c r="A131" s="174"/>
      <c r="B131" s="16"/>
      <c r="C131" s="16"/>
      <c r="D131" s="401" t="s">
        <v>21</v>
      </c>
      <c r="E131" s="16"/>
      <c r="F131" s="16"/>
      <c r="G131" s="17"/>
      <c r="H131" s="186" t="s">
        <v>12</v>
      </c>
      <c r="I131" s="18"/>
      <c r="J131" s="18"/>
      <c r="K131" s="19"/>
      <c r="L131" s="177">
        <f ca="1">L132+L133</f>
        <v>0</v>
      </c>
      <c r="M131" s="177">
        <f ca="1">M132+M133</f>
        <v>0</v>
      </c>
      <c r="N131" s="177">
        <f ca="1">N132+N133</f>
        <v>0</v>
      </c>
      <c r="O131" s="177">
        <f ca="1">IF(L131&gt;0,N131*100/L131,0)</f>
        <v>0</v>
      </c>
      <c r="P131" s="177">
        <f ca="1">IF(M131&gt;0,N131*100/M131,0)</f>
        <v>0</v>
      </c>
    </row>
    <row r="132" spans="1:16" ht="18.75" hidden="1" x14ac:dyDescent="0.25">
      <c r="A132" s="174"/>
      <c r="B132" s="16"/>
      <c r="C132" s="16"/>
      <c r="D132" s="16"/>
      <c r="E132" s="182" t="s">
        <v>18</v>
      </c>
      <c r="F132" s="16"/>
      <c r="G132" s="17"/>
      <c r="H132" s="189" t="s">
        <v>12</v>
      </c>
      <c r="I132" s="18"/>
      <c r="J132" s="18"/>
      <c r="K132" s="19"/>
      <c r="L132" s="184">
        <v>0</v>
      </c>
      <c r="M132" s="184">
        <v>0</v>
      </c>
      <c r="N132" s="184">
        <v>0</v>
      </c>
      <c r="O132" s="184">
        <f>IF(L132&gt;0,N132*100/L132,0)</f>
        <v>0</v>
      </c>
      <c r="P132" s="184">
        <f>IF(M132&gt;0,N132*100/M132,0)</f>
        <v>0</v>
      </c>
    </row>
    <row r="133" spans="1:16" ht="18.75" hidden="1" x14ac:dyDescent="0.25">
      <c r="A133" s="174"/>
      <c r="B133" s="16"/>
      <c r="C133" s="16"/>
      <c r="D133" s="16"/>
      <c r="E133" s="185" t="s">
        <v>19</v>
      </c>
      <c r="F133" s="16"/>
      <c r="G133" s="17"/>
      <c r="H133" s="186" t="s">
        <v>12</v>
      </c>
      <c r="I133" s="18"/>
      <c r="J133" s="18"/>
      <c r="K133" s="19"/>
      <c r="L133" s="177">
        <f ca="1">IFERROR(__xludf.DUMMYFUNCTION("IMPORTRANGE(""https://docs.google.com/spreadsheets/d/1-uDff_7J0KD5mKrp0Vvzr7lt3OU09vwQwhkpOPPYv2Y/edit?usp=sharing"",""งบพรบ!BJ21"")"),0)</f>
        <v>0</v>
      </c>
      <c r="M133" s="177">
        <f ca="1">IFERROR(__xludf.DUMMYFUNCTION("IMPORTRANGE(""https://docs.google.com/spreadsheets/d/1-uDff_7J0KD5mKrp0Vvzr7lt3OU09vwQwhkpOPPYv2Y/edit?usp=sharing"",""งบพรบ!BM21"")"),0)</f>
        <v>0</v>
      </c>
      <c r="N133" s="177">
        <f ca="1">IFERROR(__xludf.DUMMYFUNCTION("IMPORTRANGE(""https://docs.google.com/spreadsheets/d/1-uDff_7J0KD5mKrp0Vvzr7lt3OU09vwQwhkpOPPYv2Y/edit?usp=sharing"",""งบพรบ!BO21"")"),0)</f>
        <v>0</v>
      </c>
      <c r="O133" s="177">
        <f ca="1">IF(L133&gt;0,N133*100/L133,0)</f>
        <v>0</v>
      </c>
      <c r="P133" s="177">
        <f ca="1">IF(M133&gt;0,N133*100/M133,0)</f>
        <v>0</v>
      </c>
    </row>
    <row r="134" spans="1:16" ht="19.5" hidden="1" x14ac:dyDescent="0.3">
      <c r="A134" s="125" t="s">
        <v>51</v>
      </c>
      <c r="B134" s="126"/>
      <c r="C134" s="190"/>
      <c r="D134" s="126"/>
      <c r="E134" s="126"/>
      <c r="F134" s="126"/>
      <c r="G134" s="126"/>
      <c r="H134" s="126"/>
      <c r="I134" s="191"/>
      <c r="J134" s="191"/>
      <c r="K134" s="192"/>
      <c r="L134" s="130"/>
      <c r="M134" s="130"/>
      <c r="N134" s="130"/>
      <c r="O134" s="130"/>
      <c r="P134" s="130"/>
    </row>
    <row r="135" spans="1:16" ht="19.5" hidden="1" x14ac:dyDescent="0.3">
      <c r="A135" s="131"/>
      <c r="B135" s="132" t="s">
        <v>52</v>
      </c>
      <c r="C135" s="193"/>
      <c r="D135" s="133"/>
      <c r="E135" s="26"/>
      <c r="F135" s="26"/>
      <c r="G135" s="26"/>
      <c r="H135" s="26"/>
      <c r="I135" s="194"/>
      <c r="J135" s="31"/>
      <c r="K135" s="32"/>
      <c r="L135" s="32"/>
      <c r="M135" s="32"/>
      <c r="N135" s="32"/>
      <c r="O135" s="32"/>
      <c r="P135" s="32"/>
    </row>
    <row r="136" spans="1:16" ht="19.5" hidden="1" x14ac:dyDescent="0.3">
      <c r="A136" s="131"/>
      <c r="B136" s="26"/>
      <c r="C136" s="195" t="s">
        <v>53</v>
      </c>
      <c r="D136" s="133"/>
      <c r="E136" s="26"/>
      <c r="F136" s="26"/>
      <c r="G136" s="29"/>
      <c r="H136" s="134" t="s">
        <v>54</v>
      </c>
      <c r="I136" s="135">
        <f ca="1">I154</f>
        <v>0</v>
      </c>
      <c r="J136" s="135">
        <f>J154</f>
        <v>0</v>
      </c>
      <c r="K136" s="33">
        <f ca="1">IF(I136&gt;0,J136*100/I136,0)</f>
        <v>0</v>
      </c>
      <c r="L136" s="32"/>
      <c r="M136" s="32"/>
      <c r="N136" s="32"/>
      <c r="O136" s="32"/>
      <c r="P136" s="32"/>
    </row>
    <row r="137" spans="1:16" ht="19.5" hidden="1" x14ac:dyDescent="0.3">
      <c r="A137" s="131"/>
      <c r="B137" s="26"/>
      <c r="C137" s="195" t="s">
        <v>55</v>
      </c>
      <c r="D137" s="133"/>
      <c r="E137" s="26"/>
      <c r="F137" s="26"/>
      <c r="G137" s="29"/>
      <c r="H137" s="134" t="s">
        <v>33</v>
      </c>
      <c r="I137" s="135">
        <f ca="1">I152</f>
        <v>0</v>
      </c>
      <c r="J137" s="135">
        <f>J152</f>
        <v>0</v>
      </c>
      <c r="K137" s="33">
        <f ca="1">IF(I137&gt;0,J137*100/I137,0)</f>
        <v>0</v>
      </c>
      <c r="L137" s="32"/>
      <c r="M137" s="32"/>
      <c r="N137" s="32"/>
      <c r="O137" s="32"/>
      <c r="P137" s="32"/>
    </row>
    <row r="138" spans="1:16" ht="19.5" hidden="1" x14ac:dyDescent="0.3">
      <c r="A138" s="131"/>
      <c r="B138" s="26"/>
      <c r="C138" s="193"/>
      <c r="D138" s="133"/>
      <c r="E138" s="26"/>
      <c r="F138" s="26"/>
      <c r="G138" s="29"/>
      <c r="H138" s="134" t="s">
        <v>56</v>
      </c>
      <c r="I138" s="135">
        <f ca="1">I153</f>
        <v>0</v>
      </c>
      <c r="J138" s="135">
        <f>J153</f>
        <v>0</v>
      </c>
      <c r="K138" s="33">
        <f ca="1">IF(I138&gt;0,J138*100/I138,0)</f>
        <v>0</v>
      </c>
      <c r="L138" s="32"/>
      <c r="M138" s="32"/>
      <c r="N138" s="32"/>
      <c r="O138" s="32"/>
      <c r="P138" s="32"/>
    </row>
    <row r="139" spans="1:16" ht="19.5" hidden="1" x14ac:dyDescent="0.3">
      <c r="A139" s="136"/>
      <c r="B139" s="41"/>
      <c r="C139" s="197" t="s">
        <v>16</v>
      </c>
      <c r="D139" s="397" t="s">
        <v>17</v>
      </c>
      <c r="E139" s="41"/>
      <c r="F139" s="41"/>
      <c r="G139" s="43"/>
      <c r="H139" s="139" t="s">
        <v>12</v>
      </c>
      <c r="I139" s="45"/>
      <c r="J139" s="45"/>
      <c r="K139" s="46"/>
      <c r="L139" s="140">
        <f ca="1">L140+L141</f>
        <v>0</v>
      </c>
      <c r="M139" s="140">
        <f ca="1">M140+M141</f>
        <v>0</v>
      </c>
      <c r="N139" s="140">
        <f ca="1">N140+N141</f>
        <v>0</v>
      </c>
      <c r="O139" s="140">
        <f ca="1">IF(L139&gt;0,N139*100/L139,0)</f>
        <v>0</v>
      </c>
      <c r="P139" s="140">
        <f ca="1">IF(M139&gt;0,N139*100/M139,0)</f>
        <v>0</v>
      </c>
    </row>
    <row r="140" spans="1:16" ht="18.75" hidden="1" x14ac:dyDescent="0.25">
      <c r="A140" s="136"/>
      <c r="B140" s="41"/>
      <c r="C140" s="41"/>
      <c r="D140" s="41"/>
      <c r="E140" s="279" t="s">
        <v>18</v>
      </c>
      <c r="F140" s="41"/>
      <c r="G140" s="43"/>
      <c r="H140" s="141" t="s">
        <v>12</v>
      </c>
      <c r="I140" s="45"/>
      <c r="J140" s="45"/>
      <c r="K140" s="46"/>
      <c r="L140" s="50">
        <f>L143+L146</f>
        <v>0</v>
      </c>
      <c r="M140" s="50">
        <f>M143+M146</f>
        <v>0</v>
      </c>
      <c r="N140" s="50">
        <f>N143+N146</f>
        <v>0</v>
      </c>
      <c r="O140" s="50">
        <f>IF(L140&gt;0,N140*100/L140,0)</f>
        <v>0</v>
      </c>
      <c r="P140" s="50">
        <f>IF(M140&gt;0,N140*100/M140,0)</f>
        <v>0</v>
      </c>
    </row>
    <row r="141" spans="1:16" ht="18.75" hidden="1" x14ac:dyDescent="0.25">
      <c r="A141" s="136"/>
      <c r="B141" s="41"/>
      <c r="C141" s="41"/>
      <c r="D141" s="41"/>
      <c r="E141" s="254" t="s">
        <v>19</v>
      </c>
      <c r="F141" s="41"/>
      <c r="G141" s="43"/>
      <c r="H141" s="142" t="s">
        <v>12</v>
      </c>
      <c r="I141" s="45"/>
      <c r="J141" s="45"/>
      <c r="K141" s="46"/>
      <c r="L141" s="47">
        <f ca="1">L144+L147</f>
        <v>0</v>
      </c>
      <c r="M141" s="47">
        <f ca="1">M144+M147</f>
        <v>0</v>
      </c>
      <c r="N141" s="47">
        <f ca="1">N144+N147</f>
        <v>0</v>
      </c>
      <c r="O141" s="47">
        <f ca="1">IF(L141&gt;0,N141*100/L141,0)</f>
        <v>0</v>
      </c>
      <c r="P141" s="47">
        <f ca="1">IF(M141&gt;0,N141*100/M141,0)</f>
        <v>0</v>
      </c>
    </row>
    <row r="142" spans="1:16" ht="18.75" hidden="1" x14ac:dyDescent="0.25">
      <c r="A142" s="136"/>
      <c r="B142" s="41"/>
      <c r="C142" s="41"/>
      <c r="D142" s="42" t="s">
        <v>20</v>
      </c>
      <c r="E142" s="41"/>
      <c r="F142" s="41"/>
      <c r="G142" s="43"/>
      <c r="H142" s="143" t="s">
        <v>12</v>
      </c>
      <c r="I142" s="144"/>
      <c r="J142" s="144"/>
      <c r="K142" s="145"/>
      <c r="L142" s="47">
        <f ca="1">L143+L144</f>
        <v>0</v>
      </c>
      <c r="M142" s="47">
        <f ca="1">M143+M144</f>
        <v>0</v>
      </c>
      <c r="N142" s="47">
        <f ca="1">N143+N144</f>
        <v>0</v>
      </c>
      <c r="O142" s="47">
        <f ca="1">IF(L142&gt;0,N142*100/L142,0)</f>
        <v>0</v>
      </c>
      <c r="P142" s="47">
        <f ca="1">IF(M142&gt;0,N142*100/M142,0)</f>
        <v>0</v>
      </c>
    </row>
    <row r="143" spans="1:16" ht="18.75" hidden="1" x14ac:dyDescent="0.25">
      <c r="A143" s="136"/>
      <c r="B143" s="41"/>
      <c r="C143" s="41"/>
      <c r="D143" s="41"/>
      <c r="E143" s="279" t="s">
        <v>34</v>
      </c>
      <c r="F143" s="41"/>
      <c r="G143" s="43"/>
      <c r="H143" s="146" t="s">
        <v>12</v>
      </c>
      <c r="I143" s="144"/>
      <c r="J143" s="144"/>
      <c r="K143" s="145"/>
      <c r="L143" s="50">
        <v>0</v>
      </c>
      <c r="M143" s="50">
        <v>0</v>
      </c>
      <c r="N143" s="50">
        <v>0</v>
      </c>
      <c r="O143" s="50">
        <f>IF(L143&gt;0,N143*100/L143,0)</f>
        <v>0</v>
      </c>
      <c r="P143" s="50">
        <f>IF(M143&gt;0,N143*100/M143,0)</f>
        <v>0</v>
      </c>
    </row>
    <row r="144" spans="1:16" ht="18.75" hidden="1" x14ac:dyDescent="0.25">
      <c r="A144" s="136"/>
      <c r="B144" s="41"/>
      <c r="C144" s="41"/>
      <c r="D144" s="41"/>
      <c r="E144" s="254" t="s">
        <v>35</v>
      </c>
      <c r="F144" s="41"/>
      <c r="G144" s="43"/>
      <c r="H144" s="143" t="s">
        <v>12</v>
      </c>
      <c r="I144" s="144"/>
      <c r="J144" s="144"/>
      <c r="K144" s="145"/>
      <c r="L144" s="47">
        <f ca="1">IFERROR(__xludf.DUMMYFUNCTION("IMPORTRANGE(""https://docs.google.com/spreadsheets/d/1-uDff_7J0KD5mKrp0Vvzr7lt3OU09vwQwhkpOPPYv2Y/edit?usp=sharing"",""งบพรบ!BQ21"")"),0)</f>
        <v>0</v>
      </c>
      <c r="M144" s="47">
        <f ca="1">IFERROR(__xludf.DUMMYFUNCTION("IMPORTRANGE(""https://docs.google.com/spreadsheets/d/1-uDff_7J0KD5mKrp0Vvzr7lt3OU09vwQwhkpOPPYv2Y/edit?usp=sharing"",""งบพรบ!BV21"")"),0)</f>
        <v>0</v>
      </c>
      <c r="N144" s="47">
        <f ca="1">IFERROR(__xludf.DUMMYFUNCTION("IMPORTRANGE(""https://docs.google.com/spreadsheets/d/1-uDff_7J0KD5mKrp0Vvzr7lt3OU09vwQwhkpOPPYv2Y/edit?usp=sharing"",""งบพรบ!BX21"")"),0)</f>
        <v>0</v>
      </c>
      <c r="O144" s="47">
        <f ca="1">IF(L144&gt;0,N144*100/L144,0)</f>
        <v>0</v>
      </c>
      <c r="P144" s="47">
        <f ca="1">IF(M144&gt;0,N144*100/M144,0)</f>
        <v>0</v>
      </c>
    </row>
    <row r="145" spans="1:16" ht="18.75" hidden="1" x14ac:dyDescent="0.25">
      <c r="A145" s="136"/>
      <c r="B145" s="41"/>
      <c r="C145" s="41"/>
      <c r="D145" s="42" t="s">
        <v>21</v>
      </c>
      <c r="E145" s="41"/>
      <c r="F145" s="41"/>
      <c r="G145" s="43"/>
      <c r="H145" s="147" t="s">
        <v>12</v>
      </c>
      <c r="I145" s="144"/>
      <c r="J145" s="144"/>
      <c r="K145" s="145"/>
      <c r="L145" s="47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</row>
    <row r="146" spans="1:16" ht="18.75" hidden="1" x14ac:dyDescent="0.25">
      <c r="A146" s="136"/>
      <c r="B146" s="41"/>
      <c r="C146" s="41"/>
      <c r="D146" s="41"/>
      <c r="E146" s="279" t="s">
        <v>18</v>
      </c>
      <c r="F146" s="41"/>
      <c r="G146" s="43"/>
      <c r="H146" s="146" t="s">
        <v>12</v>
      </c>
      <c r="I146" s="144"/>
      <c r="J146" s="144"/>
      <c r="K146" s="145"/>
      <c r="L146" s="50">
        <v>0</v>
      </c>
      <c r="M146" s="50">
        <v>0</v>
      </c>
      <c r="N146" s="50">
        <v>0</v>
      </c>
      <c r="O146" s="50">
        <f>IF(L146&gt;0,N146*100/L146,0)</f>
        <v>0</v>
      </c>
      <c r="P146" s="50">
        <f>IF(M146&gt;0,N146*100/M146,0)</f>
        <v>0</v>
      </c>
    </row>
    <row r="147" spans="1:16" ht="18.75" hidden="1" x14ac:dyDescent="0.25">
      <c r="A147" s="136"/>
      <c r="B147" s="41"/>
      <c r="C147" s="41"/>
      <c r="D147" s="41"/>
      <c r="E147" s="254" t="s">
        <v>19</v>
      </c>
      <c r="F147" s="41"/>
      <c r="G147" s="43"/>
      <c r="H147" s="147" t="s">
        <v>12</v>
      </c>
      <c r="I147" s="144"/>
      <c r="J147" s="144"/>
      <c r="K147" s="145"/>
      <c r="L147" s="47">
        <f ca="1">IFERROR(__xludf.DUMMYFUNCTION("IMPORTRANGE(""https://docs.google.com/spreadsheets/d/1-uDff_7J0KD5mKrp0Vvzr7lt3OU09vwQwhkpOPPYv2Y/edit?usp=sharing"",""งบพรบ!BT21"")"),0)</f>
        <v>0</v>
      </c>
      <c r="M147" s="47">
        <f ca="1">IFERROR(__xludf.DUMMYFUNCTION("IMPORTRANGE(""https://docs.google.com/spreadsheets/d/1-uDff_7J0KD5mKrp0Vvzr7lt3OU09vwQwhkpOPPYv2Y/edit?usp=sharing"",""งบพรบ!BW21"")"),0)</f>
        <v>0</v>
      </c>
      <c r="N147" s="47">
        <f ca="1">IFERROR(__xludf.DUMMYFUNCTION("IMPORTRANGE(""https://docs.google.com/spreadsheets/d/1-uDff_7J0KD5mKrp0Vvzr7lt3OU09vwQwhkpOPPYv2Y/edit?usp=sharing"",""งบพรบ!BY21"")"),0)</f>
        <v>0</v>
      </c>
      <c r="O147" s="47">
        <f ca="1">IF(L147&gt;0,N147*100/L147,0)</f>
        <v>0</v>
      </c>
      <c r="P147" s="47">
        <f ca="1">IF(M147&gt;0,N147*100/M147,0)</f>
        <v>0</v>
      </c>
    </row>
    <row r="148" spans="1:16" ht="19.5" hidden="1" x14ac:dyDescent="0.3">
      <c r="A148" s="148"/>
      <c r="B148" s="149"/>
      <c r="C148" s="197" t="s">
        <v>16</v>
      </c>
      <c r="D148" s="395" t="s">
        <v>36</v>
      </c>
      <c r="E148" s="151"/>
      <c r="F148" s="151"/>
      <c r="G148" s="152"/>
      <c r="H148" s="196"/>
      <c r="I148" s="45"/>
      <c r="J148" s="45"/>
      <c r="K148" s="46"/>
      <c r="L148" s="46"/>
      <c r="M148" s="46"/>
      <c r="N148" s="46"/>
      <c r="O148" s="46"/>
      <c r="P148" s="46"/>
    </row>
    <row r="149" spans="1:16" ht="18.75" hidden="1" x14ac:dyDescent="0.25">
      <c r="A149" s="136"/>
      <c r="B149" s="41"/>
      <c r="C149" s="41"/>
      <c r="D149" s="254" t="s">
        <v>57</v>
      </c>
      <c r="E149" s="41"/>
      <c r="F149" s="41"/>
      <c r="G149" s="43"/>
      <c r="H149" s="196"/>
      <c r="I149" s="45"/>
      <c r="J149" s="250">
        <v>0</v>
      </c>
      <c r="K149" s="46"/>
      <c r="L149" s="46"/>
      <c r="M149" s="46"/>
      <c r="N149" s="46"/>
      <c r="O149" s="46"/>
      <c r="P149" s="46"/>
    </row>
    <row r="150" spans="1:16" ht="19.5" hidden="1" x14ac:dyDescent="0.3">
      <c r="A150" s="136"/>
      <c r="B150" s="41"/>
      <c r="C150" s="41"/>
      <c r="D150" s="155"/>
      <c r="E150" s="197" t="s">
        <v>58</v>
      </c>
      <c r="F150" s="41"/>
      <c r="G150" s="43"/>
      <c r="H150" s="147" t="s">
        <v>33</v>
      </c>
      <c r="I150" s="169">
        <f ca="1">IFERROR(__xludf.DUMMYFUNCTION("IMPORTRANGE(""https://docs.google.com/spreadsheets/d/1eHaY18a8A9IcSdp1K8H6x8fbOy06t2VsZHhMHf-1x7Y/edit?usp=sharing"",""แผน!U21"")"),0)</f>
        <v>0</v>
      </c>
      <c r="J150" s="250">
        <v>0</v>
      </c>
      <c r="K150" s="47">
        <f ca="1">IF(I150&gt;0,J150*100/I150,0)</f>
        <v>0</v>
      </c>
      <c r="L150" s="46"/>
      <c r="M150" s="46"/>
      <c r="N150" s="46"/>
      <c r="O150" s="46"/>
      <c r="P150" s="46"/>
    </row>
    <row r="151" spans="1:16" ht="18.75" hidden="1" x14ac:dyDescent="0.25">
      <c r="A151" s="136"/>
      <c r="B151" s="41"/>
      <c r="C151" s="41"/>
      <c r="D151" s="155"/>
      <c r="E151" s="41"/>
      <c r="F151" s="41"/>
      <c r="G151" s="43"/>
      <c r="H151" s="147" t="s">
        <v>56</v>
      </c>
      <c r="I151" s="169">
        <f ca="1">IFERROR(__xludf.DUMMYFUNCTION("IMPORTRANGE(""https://docs.google.com/spreadsheets/d/1eHaY18a8A9IcSdp1K8H6x8fbOy06t2VsZHhMHf-1x7Y/edit?usp=sharing"",""แผน!V21"")"),0)</f>
        <v>0</v>
      </c>
      <c r="J151" s="250">
        <v>0</v>
      </c>
      <c r="K151" s="47">
        <f ca="1">IF(I151&gt;0,J151*100/I151,0)</f>
        <v>0</v>
      </c>
      <c r="L151" s="46"/>
      <c r="M151" s="46"/>
      <c r="N151" s="46"/>
      <c r="O151" s="46"/>
      <c r="P151" s="46"/>
    </row>
    <row r="152" spans="1:16" ht="19.5" hidden="1" x14ac:dyDescent="0.3">
      <c r="A152" s="136"/>
      <c r="B152" s="41"/>
      <c r="C152" s="41"/>
      <c r="D152" s="155"/>
      <c r="E152" s="197" t="s">
        <v>59</v>
      </c>
      <c r="F152" s="41"/>
      <c r="G152" s="43"/>
      <c r="H152" s="147" t="s">
        <v>33</v>
      </c>
      <c r="I152" s="169">
        <f ca="1">IFERROR(__xludf.DUMMYFUNCTION("IMPORTRANGE(""https://docs.google.com/spreadsheets/d/1eHaY18a8A9IcSdp1K8H6x8fbOy06t2VsZHhMHf-1x7Y/edit?usp=sharing"",""แผน!W21"")"),0)</f>
        <v>0</v>
      </c>
      <c r="J152" s="250">
        <v>0</v>
      </c>
      <c r="K152" s="47">
        <f ca="1">IF(I152&gt;0,J152*100/I152,0)</f>
        <v>0</v>
      </c>
      <c r="L152" s="46"/>
      <c r="M152" s="46"/>
      <c r="N152" s="46"/>
      <c r="O152" s="46"/>
      <c r="P152" s="46"/>
    </row>
    <row r="153" spans="1:16" ht="18.75" hidden="1" x14ac:dyDescent="0.25">
      <c r="A153" s="136"/>
      <c r="B153" s="41"/>
      <c r="C153" s="41"/>
      <c r="D153" s="41"/>
      <c r="E153" s="41"/>
      <c r="F153" s="41"/>
      <c r="G153" s="43"/>
      <c r="H153" s="147" t="s">
        <v>56</v>
      </c>
      <c r="I153" s="169">
        <f ca="1">IFERROR(__xludf.DUMMYFUNCTION("IMPORTRANGE(""https://docs.google.com/spreadsheets/d/1eHaY18a8A9IcSdp1K8H6x8fbOy06t2VsZHhMHf-1x7Y/edit?usp=sharing"",""แผน!X21"")"),0)</f>
        <v>0</v>
      </c>
      <c r="J153" s="250">
        <v>0</v>
      </c>
      <c r="K153" s="47">
        <f ca="1">IF(I153&gt;0,J153*100/I153,0)</f>
        <v>0</v>
      </c>
      <c r="L153" s="46"/>
      <c r="M153" s="46"/>
      <c r="N153" s="46"/>
      <c r="O153" s="46"/>
      <c r="P153" s="46"/>
    </row>
    <row r="154" spans="1:16" ht="18.75" hidden="1" x14ac:dyDescent="0.25">
      <c r="A154" s="136"/>
      <c r="B154" s="41"/>
      <c r="C154" s="41"/>
      <c r="D154" s="254" t="s">
        <v>60</v>
      </c>
      <c r="E154" s="41"/>
      <c r="F154" s="41"/>
      <c r="G154" s="43"/>
      <c r="H154" s="147" t="s">
        <v>54</v>
      </c>
      <c r="I154" s="169">
        <f ca="1">IFERROR(__xludf.DUMMYFUNCTION("IMPORTRANGE(""https://docs.google.com/spreadsheets/d/1eHaY18a8A9IcSdp1K8H6x8fbOy06t2VsZHhMHf-1x7Y/edit?usp=sharing"",""แผน!Y21"")"),0)</f>
        <v>0</v>
      </c>
      <c r="J154" s="250">
        <v>0</v>
      </c>
      <c r="K154" s="47">
        <f ca="1">IF(I154&gt;0,J154*100/I154,0)</f>
        <v>0</v>
      </c>
      <c r="L154" s="46"/>
      <c r="M154" s="46"/>
      <c r="N154" s="46"/>
      <c r="O154" s="46"/>
      <c r="P154" s="46"/>
    </row>
    <row r="155" spans="1:16" ht="19.5" hidden="1" x14ac:dyDescent="0.3">
      <c r="A155" s="125" t="s">
        <v>61</v>
      </c>
      <c r="B155" s="126"/>
      <c r="C155" s="190"/>
      <c r="D155" s="126"/>
      <c r="E155" s="126"/>
      <c r="F155" s="126"/>
      <c r="G155" s="126"/>
      <c r="H155" s="126"/>
      <c r="I155" s="191"/>
      <c r="J155" s="191"/>
      <c r="K155" s="192"/>
      <c r="L155" s="130"/>
      <c r="M155" s="130"/>
      <c r="N155" s="130"/>
      <c r="O155" s="130"/>
      <c r="P155" s="130"/>
    </row>
    <row r="156" spans="1:16" ht="19.5" hidden="1" x14ac:dyDescent="0.3">
      <c r="A156" s="131"/>
      <c r="B156" s="132" t="s">
        <v>62</v>
      </c>
      <c r="C156" s="26"/>
      <c r="D156" s="26"/>
      <c r="E156" s="26"/>
      <c r="F156" s="26"/>
      <c r="G156" s="29"/>
      <c r="H156" s="198" t="s">
        <v>33</v>
      </c>
      <c r="I156" s="135">
        <f ca="1">I169</f>
        <v>0</v>
      </c>
      <c r="J156" s="135">
        <f>J169</f>
        <v>0</v>
      </c>
      <c r="K156" s="33">
        <f ca="1">IF(I156&gt;0,J156*100/I156,0)</f>
        <v>0</v>
      </c>
      <c r="L156" s="32"/>
      <c r="M156" s="32"/>
      <c r="N156" s="32"/>
      <c r="O156" s="32"/>
      <c r="P156" s="32"/>
    </row>
    <row r="157" spans="1:16" ht="19.5" hidden="1" x14ac:dyDescent="0.3">
      <c r="A157" s="136"/>
      <c r="B157" s="41"/>
      <c r="C157" s="197" t="s">
        <v>16</v>
      </c>
      <c r="D157" s="397" t="s">
        <v>17</v>
      </c>
      <c r="E157" s="41"/>
      <c r="F157" s="41"/>
      <c r="G157" s="43"/>
      <c r="H157" s="139" t="s">
        <v>12</v>
      </c>
      <c r="I157" s="45"/>
      <c r="J157" s="45"/>
      <c r="K157" s="46"/>
      <c r="L157" s="140">
        <f ca="1">L158+L159</f>
        <v>0</v>
      </c>
      <c r="M157" s="140">
        <f ca="1">M158+M159</f>
        <v>0</v>
      </c>
      <c r="N157" s="140">
        <f ca="1">N158+N159</f>
        <v>0</v>
      </c>
      <c r="O157" s="140">
        <f ca="1">IF(L157&gt;0,N157*100/L157,0)</f>
        <v>0</v>
      </c>
      <c r="P157" s="140">
        <f ca="1">IF(M157&gt;0,N157*100/M157,0)</f>
        <v>0</v>
      </c>
    </row>
    <row r="158" spans="1:16" ht="18.75" hidden="1" x14ac:dyDescent="0.25">
      <c r="A158" s="136"/>
      <c r="B158" s="41"/>
      <c r="C158" s="41"/>
      <c r="D158" s="41"/>
      <c r="E158" s="279" t="s">
        <v>18</v>
      </c>
      <c r="F158" s="41"/>
      <c r="G158" s="43"/>
      <c r="H158" s="141" t="s">
        <v>12</v>
      </c>
      <c r="I158" s="45"/>
      <c r="J158" s="45"/>
      <c r="K158" s="46"/>
      <c r="L158" s="50">
        <f>L161+L164</f>
        <v>0</v>
      </c>
      <c r="M158" s="50">
        <f>M161+M164</f>
        <v>0</v>
      </c>
      <c r="N158" s="50">
        <f>N161+N164</f>
        <v>0</v>
      </c>
      <c r="O158" s="50">
        <f>IF(L158&gt;0,N158*100/L158,0)</f>
        <v>0</v>
      </c>
      <c r="P158" s="50">
        <f>IF(M158&gt;0,N158*100/M158,0)</f>
        <v>0</v>
      </c>
    </row>
    <row r="159" spans="1:16" ht="18.75" hidden="1" x14ac:dyDescent="0.25">
      <c r="A159" s="136"/>
      <c r="B159" s="41"/>
      <c r="C159" s="41"/>
      <c r="D159" s="41"/>
      <c r="E159" s="254" t="s">
        <v>19</v>
      </c>
      <c r="F159" s="41"/>
      <c r="G159" s="43"/>
      <c r="H159" s="142" t="s">
        <v>12</v>
      </c>
      <c r="I159" s="45"/>
      <c r="J159" s="45"/>
      <c r="K159" s="46"/>
      <c r="L159" s="47">
        <f ca="1">L162+L165</f>
        <v>0</v>
      </c>
      <c r="M159" s="47">
        <f ca="1">M162+M165</f>
        <v>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</row>
    <row r="160" spans="1:16" ht="18.75" hidden="1" x14ac:dyDescent="0.25">
      <c r="A160" s="136"/>
      <c r="B160" s="41"/>
      <c r="C160" s="41"/>
      <c r="D160" s="42" t="s">
        <v>20</v>
      </c>
      <c r="E160" s="41"/>
      <c r="F160" s="41"/>
      <c r="G160" s="43"/>
      <c r="H160" s="143" t="s">
        <v>12</v>
      </c>
      <c r="I160" s="144"/>
      <c r="J160" s="144"/>
      <c r="K160" s="145"/>
      <c r="L160" s="47">
        <f ca="1">L161+L162</f>
        <v>0</v>
      </c>
      <c r="M160" s="47">
        <f ca="1">M161+M162</f>
        <v>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</row>
    <row r="161" spans="1:16" ht="18.75" hidden="1" x14ac:dyDescent="0.25">
      <c r="A161" s="136"/>
      <c r="B161" s="41"/>
      <c r="C161" s="41"/>
      <c r="D161" s="41"/>
      <c r="E161" s="279" t="s">
        <v>34</v>
      </c>
      <c r="F161" s="41"/>
      <c r="G161" s="43"/>
      <c r="H161" s="146" t="s">
        <v>12</v>
      </c>
      <c r="I161" s="144"/>
      <c r="J161" s="144"/>
      <c r="K161" s="145"/>
      <c r="L161" s="50">
        <v>0</v>
      </c>
      <c r="M161" s="50">
        <v>0</v>
      </c>
      <c r="N161" s="50">
        <v>0</v>
      </c>
      <c r="O161" s="50">
        <f>IF(L161&gt;0,N161*100/L161,0)</f>
        <v>0</v>
      </c>
      <c r="P161" s="50">
        <f>IF(M161&gt;0,N161*100/M161,0)</f>
        <v>0</v>
      </c>
    </row>
    <row r="162" spans="1:16" ht="18.75" hidden="1" x14ac:dyDescent="0.25">
      <c r="A162" s="136"/>
      <c r="B162" s="41"/>
      <c r="C162" s="41"/>
      <c r="D162" s="41"/>
      <c r="E162" s="254" t="s">
        <v>35</v>
      </c>
      <c r="F162" s="41"/>
      <c r="G162" s="43"/>
      <c r="H162" s="143" t="s">
        <v>12</v>
      </c>
      <c r="I162" s="144"/>
      <c r="J162" s="144"/>
      <c r="K162" s="145"/>
      <c r="L162" s="47">
        <f ca="1">IFERROR(__xludf.DUMMYFUNCTION("IMPORTRANGE(""https://docs.google.com/spreadsheets/d/1-uDff_7J0KD5mKrp0Vvzr7lt3OU09vwQwhkpOPPYv2Y/edit?usp=sharing"",""งบพรบ!CA21"")"),0)</f>
        <v>0</v>
      </c>
      <c r="M162" s="47">
        <f ca="1">IFERROR(__xludf.DUMMYFUNCTION("IMPORTRANGE(""https://docs.google.com/spreadsheets/d/1-uDff_7J0KD5mKrp0Vvzr7lt3OU09vwQwhkpOPPYv2Y/edit?usp=sharing"",""งบพรบ!CF21"")"),0)</f>
        <v>0</v>
      </c>
      <c r="N162" s="47">
        <f ca="1">IFERROR(__xludf.DUMMYFUNCTION("IMPORTRANGE(""https://docs.google.com/spreadsheets/d/1-uDff_7J0KD5mKrp0Vvzr7lt3OU09vwQwhkpOPPYv2Y/edit?usp=sharing"",""งบพรบ!CH21"")"),0)</f>
        <v>0</v>
      </c>
      <c r="O162" s="47">
        <f ca="1">IF(L162&gt;0,N162*100/L162,0)</f>
        <v>0</v>
      </c>
      <c r="P162" s="47">
        <f ca="1">IF(M162&gt;0,N162*100/M162,0)</f>
        <v>0</v>
      </c>
    </row>
    <row r="163" spans="1:16" ht="18.75" hidden="1" x14ac:dyDescent="0.25">
      <c r="A163" s="136"/>
      <c r="B163" s="41"/>
      <c r="C163" s="41"/>
      <c r="D163" s="42" t="s">
        <v>21</v>
      </c>
      <c r="E163" s="41"/>
      <c r="F163" s="41"/>
      <c r="G163" s="43"/>
      <c r="H163" s="147" t="s">
        <v>12</v>
      </c>
      <c r="I163" s="144"/>
      <c r="J163" s="144"/>
      <c r="K163" s="145"/>
      <c r="L163" s="47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</row>
    <row r="164" spans="1:16" ht="18.75" hidden="1" x14ac:dyDescent="0.25">
      <c r="A164" s="136"/>
      <c r="B164" s="41"/>
      <c r="C164" s="41"/>
      <c r="D164" s="41"/>
      <c r="E164" s="279" t="s">
        <v>18</v>
      </c>
      <c r="F164" s="41"/>
      <c r="G164" s="43"/>
      <c r="H164" s="146" t="s">
        <v>12</v>
      </c>
      <c r="I164" s="144"/>
      <c r="J164" s="144"/>
      <c r="K164" s="145"/>
      <c r="L164" s="50">
        <v>0</v>
      </c>
      <c r="M164" s="50">
        <v>0</v>
      </c>
      <c r="N164" s="50">
        <v>0</v>
      </c>
      <c r="O164" s="50">
        <f>IF(L164&gt;0,N164*100/L164,0)</f>
        <v>0</v>
      </c>
      <c r="P164" s="50">
        <f>IF(M164&gt;0,N164*100/M164,0)</f>
        <v>0</v>
      </c>
    </row>
    <row r="165" spans="1:16" ht="18.75" hidden="1" x14ac:dyDescent="0.25">
      <c r="A165" s="136"/>
      <c r="B165" s="41"/>
      <c r="C165" s="41"/>
      <c r="D165" s="41"/>
      <c r="E165" s="254" t="s">
        <v>19</v>
      </c>
      <c r="F165" s="41"/>
      <c r="G165" s="43"/>
      <c r="H165" s="147" t="s">
        <v>12</v>
      </c>
      <c r="I165" s="144"/>
      <c r="J165" s="144"/>
      <c r="K165" s="145"/>
      <c r="L165" s="47">
        <f ca="1">IFERROR(__xludf.DUMMYFUNCTION("IMPORTRANGE(""https://docs.google.com/spreadsheets/d/1-uDff_7J0KD5mKrp0Vvzr7lt3OU09vwQwhkpOPPYv2Y/edit?usp=sharing"",""งบพรบ!CD21"")"),0)</f>
        <v>0</v>
      </c>
      <c r="M165" s="47">
        <f ca="1">IFERROR(__xludf.DUMMYFUNCTION("IMPORTRANGE(""https://docs.google.com/spreadsheets/d/1-uDff_7J0KD5mKrp0Vvzr7lt3OU09vwQwhkpOPPYv2Y/edit?usp=sharing"",""งบพรบ!CG21"")"),0)</f>
        <v>0</v>
      </c>
      <c r="N165" s="47">
        <f ca="1">IFERROR(__xludf.DUMMYFUNCTION("IMPORTRANGE(""https://docs.google.com/spreadsheets/d/1-uDff_7J0KD5mKrp0Vvzr7lt3OU09vwQwhkpOPPYv2Y/edit?usp=sharing"",""งบพรบ!CI21"")"),0)</f>
        <v>0</v>
      </c>
      <c r="O165" s="47">
        <f ca="1">IF(L165&gt;0,N165*100/L165,0)</f>
        <v>0</v>
      </c>
      <c r="P165" s="47">
        <f ca="1">IF(M165&gt;0,N165*100/M165,0)</f>
        <v>0</v>
      </c>
    </row>
    <row r="166" spans="1:16" ht="19.5" hidden="1" x14ac:dyDescent="0.3">
      <c r="A166" s="148"/>
      <c r="B166" s="149"/>
      <c r="C166" s="197" t="s">
        <v>16</v>
      </c>
      <c r="D166" s="395" t="s">
        <v>36</v>
      </c>
      <c r="E166" s="151"/>
      <c r="F166" s="151"/>
      <c r="G166" s="152"/>
      <c r="H166" s="196"/>
      <c r="I166" s="45"/>
      <c r="J166" s="45"/>
      <c r="K166" s="46"/>
      <c r="L166" s="46"/>
      <c r="M166" s="46"/>
      <c r="N166" s="46"/>
      <c r="O166" s="46"/>
      <c r="P166" s="46"/>
    </row>
    <row r="167" spans="1:16" ht="18.75" hidden="1" x14ac:dyDescent="0.25">
      <c r="A167" s="136"/>
      <c r="B167" s="41"/>
      <c r="C167" s="41"/>
      <c r="D167" s="254" t="s">
        <v>63</v>
      </c>
      <c r="E167" s="41"/>
      <c r="F167" s="41"/>
      <c r="G167" s="43"/>
      <c r="H167" s="147" t="s">
        <v>33</v>
      </c>
      <c r="I167" s="169">
        <f ca="1">IFERROR(__xludf.DUMMYFUNCTION("IMPORTRANGE(""https://docs.google.com/spreadsheets/d/1eHaY18a8A9IcSdp1K8H6x8fbOy06t2VsZHhMHf-1x7Y/edit?usp=sharing"",""แผน!Z21"")"),0)</f>
        <v>0</v>
      </c>
      <c r="J167" s="250">
        <v>0</v>
      </c>
      <c r="K167" s="47">
        <f ca="1">IF(I167&gt;0,J167*100/I167,0)</f>
        <v>0</v>
      </c>
      <c r="L167" s="46"/>
      <c r="M167" s="46"/>
      <c r="N167" s="46"/>
      <c r="O167" s="46"/>
      <c r="P167" s="46"/>
    </row>
    <row r="168" spans="1:16" ht="18.75" hidden="1" x14ac:dyDescent="0.25">
      <c r="A168" s="136"/>
      <c r="B168" s="41"/>
      <c r="C168" s="41"/>
      <c r="D168" s="279" t="s">
        <v>64</v>
      </c>
      <c r="E168" s="41"/>
      <c r="F168" s="41"/>
      <c r="G168" s="43"/>
      <c r="H168" s="199" t="s">
        <v>33</v>
      </c>
      <c r="I168" s="200">
        <f ca="1">IFERROR(__xludf.DUMMYFUNCTION("IMPORTRANGE(""https://docs.google.com/spreadsheets/d/1eHaY18a8A9IcSdp1K8H6x8fbOy06t2VsZHhMHf-1x7Y/edit?usp=sharing"",""แผน!Z21"")"),0)</f>
        <v>0</v>
      </c>
      <c r="J168" s="201">
        <v>0</v>
      </c>
      <c r="K168" s="50">
        <f ca="1">IF(I168&gt;0,J168*100/I168,0)</f>
        <v>0</v>
      </c>
      <c r="L168" s="46"/>
      <c r="M168" s="46"/>
      <c r="N168" s="46"/>
      <c r="O168" s="46"/>
      <c r="P168" s="46"/>
    </row>
    <row r="169" spans="1:16" ht="18.75" hidden="1" x14ac:dyDescent="0.25">
      <c r="A169" s="202"/>
      <c r="B169" s="1"/>
      <c r="C169" s="1"/>
      <c r="D169" s="203" t="s">
        <v>65</v>
      </c>
      <c r="E169" s="1"/>
      <c r="F169" s="1"/>
      <c r="G169" s="54"/>
      <c r="H169" s="204" t="s">
        <v>33</v>
      </c>
      <c r="I169" s="205">
        <f ca="1">IFERROR(__xludf.DUMMYFUNCTION("IMPORTRANGE(""https://docs.google.com/spreadsheets/d/1eHaY18a8A9IcSdp1K8H6x8fbOy06t2VsZHhMHf-1x7Y/edit?usp=sharing"",""แผน!Z21"")"),0)</f>
        <v>0</v>
      </c>
      <c r="J169" s="206">
        <v>0</v>
      </c>
      <c r="K169" s="207">
        <f ca="1">IF(I169&gt;0,J169*100/I169,0)</f>
        <v>0</v>
      </c>
      <c r="L169" s="57"/>
      <c r="M169" s="57"/>
      <c r="N169" s="57"/>
      <c r="O169" s="57"/>
      <c r="P169" s="57"/>
    </row>
    <row r="170" spans="1:16" ht="19.5" x14ac:dyDescent="0.3">
      <c r="A170" s="208" t="s">
        <v>66</v>
      </c>
      <c r="B170" s="209"/>
      <c r="C170" s="209"/>
      <c r="D170" s="209"/>
      <c r="E170" s="210"/>
      <c r="F170" s="210"/>
      <c r="G170" s="210"/>
      <c r="H170" s="210"/>
      <c r="I170" s="211"/>
      <c r="J170" s="211"/>
      <c r="K170" s="212"/>
      <c r="L170" s="212"/>
      <c r="M170" s="212"/>
      <c r="N170" s="212"/>
      <c r="O170" s="212"/>
      <c r="P170" s="213"/>
    </row>
    <row r="171" spans="1:16" ht="19.5" x14ac:dyDescent="0.3">
      <c r="A171" s="214" t="s">
        <v>67</v>
      </c>
      <c r="B171" s="215"/>
      <c r="C171" s="215"/>
      <c r="D171" s="216"/>
      <c r="E171" s="216"/>
      <c r="F171" s="216"/>
      <c r="G171" s="216"/>
      <c r="H171" s="217"/>
      <c r="I171" s="218"/>
      <c r="J171" s="218"/>
      <c r="K171" s="219"/>
      <c r="L171" s="219"/>
      <c r="M171" s="219"/>
      <c r="N171" s="219"/>
      <c r="O171" s="219"/>
      <c r="P171" s="219"/>
    </row>
    <row r="172" spans="1:16" ht="19.5" x14ac:dyDescent="0.3">
      <c r="A172" s="220"/>
      <c r="B172" s="221" t="s">
        <v>68</v>
      </c>
      <c r="C172" s="222"/>
      <c r="D172" s="151"/>
      <c r="E172" s="151"/>
      <c r="F172" s="151"/>
      <c r="G172" s="152"/>
      <c r="H172" s="223" t="s">
        <v>33</v>
      </c>
      <c r="I172" s="224">
        <f ca="1">I183+I184</f>
        <v>7</v>
      </c>
      <c r="J172" s="224">
        <f>J183+J184</f>
        <v>0</v>
      </c>
      <c r="K172" s="225">
        <f ca="1">IF(I172&gt;0,J172*100/I172,0)</f>
        <v>0</v>
      </c>
      <c r="L172" s="226"/>
      <c r="M172" s="226"/>
      <c r="N172" s="226"/>
      <c r="O172" s="226"/>
      <c r="P172" s="226"/>
    </row>
    <row r="173" spans="1:16" ht="19.5" x14ac:dyDescent="0.3">
      <c r="A173" s="136"/>
      <c r="B173" s="41"/>
      <c r="C173" s="197" t="s">
        <v>16</v>
      </c>
      <c r="D173" s="397" t="s">
        <v>17</v>
      </c>
      <c r="E173" s="41"/>
      <c r="F173" s="41"/>
      <c r="G173" s="43"/>
      <c r="H173" s="139" t="s">
        <v>12</v>
      </c>
      <c r="I173" s="45"/>
      <c r="J173" s="45"/>
      <c r="K173" s="46"/>
      <c r="L173" s="140">
        <f ca="1">L174+L175</f>
        <v>19590</v>
      </c>
      <c r="M173" s="140">
        <f ca="1">M174+M175</f>
        <v>19590</v>
      </c>
      <c r="N173" s="140">
        <f ca="1">N174+N175</f>
        <v>0</v>
      </c>
      <c r="O173" s="140">
        <f ca="1">IF(L173&gt;0,N173*100/L173,0)</f>
        <v>0</v>
      </c>
      <c r="P173" s="140">
        <f ca="1">IF(M173&gt;0,N173*100/M173,0)</f>
        <v>0</v>
      </c>
    </row>
    <row r="174" spans="1:16" ht="18.75" hidden="1" x14ac:dyDescent="0.25">
      <c r="A174" s="136"/>
      <c r="B174" s="41"/>
      <c r="C174" s="41"/>
      <c r="D174" s="41"/>
      <c r="E174" s="279" t="s">
        <v>18</v>
      </c>
      <c r="F174" s="41"/>
      <c r="G174" s="43"/>
      <c r="H174" s="141" t="s">
        <v>12</v>
      </c>
      <c r="I174" s="45"/>
      <c r="J174" s="45"/>
      <c r="K174" s="46"/>
      <c r="L174" s="50">
        <f>L177+L180</f>
        <v>0</v>
      </c>
      <c r="M174" s="50">
        <f>M177+M180</f>
        <v>0</v>
      </c>
      <c r="N174" s="50">
        <f>N177+N180</f>
        <v>0</v>
      </c>
      <c r="O174" s="50">
        <f>IF(L174&gt;0,N174*100/L174,0)</f>
        <v>0</v>
      </c>
      <c r="P174" s="50">
        <f>IF(M174&gt;0,N174*100/M174,0)</f>
        <v>0</v>
      </c>
    </row>
    <row r="175" spans="1:16" ht="18.75" hidden="1" x14ac:dyDescent="0.25">
      <c r="A175" s="136"/>
      <c r="B175" s="41"/>
      <c r="C175" s="41"/>
      <c r="D175" s="41"/>
      <c r="E175" s="254" t="s">
        <v>19</v>
      </c>
      <c r="F175" s="41"/>
      <c r="G175" s="43"/>
      <c r="H175" s="142" t="s">
        <v>12</v>
      </c>
      <c r="I175" s="45"/>
      <c r="J175" s="45"/>
      <c r="K175" s="46"/>
      <c r="L175" s="47">
        <f ca="1">L178+L181</f>
        <v>19590</v>
      </c>
      <c r="M175" s="47">
        <f ca="1">M178+M181</f>
        <v>19590</v>
      </c>
      <c r="N175" s="47">
        <f ca="1">N178+N181</f>
        <v>0</v>
      </c>
      <c r="O175" s="47">
        <f ca="1">IF(L175&gt;0,N175*100/L175,0)</f>
        <v>0</v>
      </c>
      <c r="P175" s="47">
        <f ca="1">IF(M175&gt;0,N175*100/M175,0)</f>
        <v>0</v>
      </c>
    </row>
    <row r="176" spans="1:16" ht="18.75" x14ac:dyDescent="0.25">
      <c r="A176" s="136"/>
      <c r="B176" s="41"/>
      <c r="C176" s="41"/>
      <c r="D176" s="42" t="s">
        <v>20</v>
      </c>
      <c r="E176" s="41"/>
      <c r="F176" s="41"/>
      <c r="G176" s="43"/>
      <c r="H176" s="143" t="s">
        <v>12</v>
      </c>
      <c r="I176" s="144"/>
      <c r="J176" s="144"/>
      <c r="K176" s="145"/>
      <c r="L176" s="47">
        <f ca="1">L177+L178</f>
        <v>19590</v>
      </c>
      <c r="M176" s="47">
        <f ca="1">M177+M178</f>
        <v>19590</v>
      </c>
      <c r="N176" s="47">
        <f ca="1">N177+N178</f>
        <v>0</v>
      </c>
      <c r="O176" s="47">
        <f ca="1">IF(L176&gt;0,N176*100/L176,0)</f>
        <v>0</v>
      </c>
      <c r="P176" s="47">
        <f ca="1">IF(M176&gt;0,N176*100/M176,0)</f>
        <v>0</v>
      </c>
    </row>
    <row r="177" spans="1:16" ht="18.75" hidden="1" x14ac:dyDescent="0.25">
      <c r="A177" s="136"/>
      <c r="B177" s="41"/>
      <c r="C177" s="41"/>
      <c r="D177" s="41"/>
      <c r="E177" s="279" t="s">
        <v>34</v>
      </c>
      <c r="F177" s="41"/>
      <c r="G177" s="43"/>
      <c r="H177" s="146" t="s">
        <v>12</v>
      </c>
      <c r="I177" s="144"/>
      <c r="J177" s="144"/>
      <c r="K177" s="145"/>
      <c r="L177" s="50">
        <v>0</v>
      </c>
      <c r="M177" s="50">
        <v>0</v>
      </c>
      <c r="N177" s="50">
        <v>0</v>
      </c>
      <c r="O177" s="50">
        <f>IF(L177&gt;0,N177*100/L177,0)</f>
        <v>0</v>
      </c>
      <c r="P177" s="50">
        <f>IF(M177&gt;0,N177*100/M177,0)</f>
        <v>0</v>
      </c>
    </row>
    <row r="178" spans="1:16" ht="18.75" hidden="1" x14ac:dyDescent="0.25">
      <c r="A178" s="136"/>
      <c r="B178" s="41"/>
      <c r="C178" s="41"/>
      <c r="D178" s="41"/>
      <c r="E178" s="254" t="s">
        <v>35</v>
      </c>
      <c r="F178" s="41"/>
      <c r="G178" s="43"/>
      <c r="H178" s="143" t="s">
        <v>12</v>
      </c>
      <c r="I178" s="144"/>
      <c r="J178" s="144"/>
      <c r="K178" s="145"/>
      <c r="L178" s="47">
        <f ca="1">IFERROR(__xludf.DUMMYFUNCTION("IMPORTRANGE(""https://docs.google.com/spreadsheets/d/1-uDff_7J0KD5mKrp0Vvzr7lt3OU09vwQwhkpOPPYv2Y/edit?usp=sharing"",""งบพรบ!CK21"")"),19590)</f>
        <v>19590</v>
      </c>
      <c r="M178" s="47">
        <f ca="1">IFERROR(__xludf.DUMMYFUNCTION("IMPORTRANGE(""https://docs.google.com/spreadsheets/d/1-uDff_7J0KD5mKrp0Vvzr7lt3OU09vwQwhkpOPPYv2Y/edit?usp=sharing"",""งบพรบ!CP21"")"),19590)</f>
        <v>19590</v>
      </c>
      <c r="N178" s="47">
        <f ca="1">IFERROR(__xludf.DUMMYFUNCTION("IMPORTRANGE(""https://docs.google.com/spreadsheets/d/1-uDff_7J0KD5mKrp0Vvzr7lt3OU09vwQwhkpOPPYv2Y/edit?usp=sharing"",""งบพรบ!CR21"")"),0)</f>
        <v>0</v>
      </c>
      <c r="O178" s="47">
        <f ca="1">IF(L178&gt;0,N178*100/L178,0)</f>
        <v>0</v>
      </c>
      <c r="P178" s="47">
        <f ca="1">IF(M178&gt;0,N178*100/M178,0)</f>
        <v>0</v>
      </c>
    </row>
    <row r="179" spans="1:16" ht="18.75" x14ac:dyDescent="0.25">
      <c r="A179" s="136"/>
      <c r="B179" s="41"/>
      <c r="C179" s="41"/>
      <c r="D179" s="42" t="s">
        <v>21</v>
      </c>
      <c r="E179" s="41"/>
      <c r="F179" s="41"/>
      <c r="G179" s="43"/>
      <c r="H179" s="147" t="s">
        <v>12</v>
      </c>
      <c r="I179" s="144"/>
      <c r="J179" s="144"/>
      <c r="K179" s="145"/>
      <c r="L179" s="47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</row>
    <row r="180" spans="1:16" ht="18.75" hidden="1" x14ac:dyDescent="0.25">
      <c r="A180" s="136"/>
      <c r="B180" s="41"/>
      <c r="C180" s="41"/>
      <c r="D180" s="41"/>
      <c r="E180" s="279" t="s">
        <v>18</v>
      </c>
      <c r="F180" s="41"/>
      <c r="G180" s="43"/>
      <c r="H180" s="146" t="s">
        <v>12</v>
      </c>
      <c r="I180" s="144"/>
      <c r="J180" s="144"/>
      <c r="K180" s="145"/>
      <c r="L180" s="50">
        <v>0</v>
      </c>
      <c r="M180" s="50">
        <v>0</v>
      </c>
      <c r="N180" s="50">
        <v>0</v>
      </c>
      <c r="O180" s="50">
        <f>IF(L180&gt;0,N180*100/L180,0)</f>
        <v>0</v>
      </c>
      <c r="P180" s="50">
        <f>IF(M180&gt;0,N180*100/M180,0)</f>
        <v>0</v>
      </c>
    </row>
    <row r="181" spans="1:16" ht="18.75" hidden="1" x14ac:dyDescent="0.25">
      <c r="A181" s="136"/>
      <c r="B181" s="41"/>
      <c r="C181" s="41"/>
      <c r="D181" s="41"/>
      <c r="E181" s="254" t="s">
        <v>19</v>
      </c>
      <c r="F181" s="41"/>
      <c r="G181" s="43"/>
      <c r="H181" s="147" t="s">
        <v>12</v>
      </c>
      <c r="I181" s="144"/>
      <c r="J181" s="144"/>
      <c r="K181" s="145"/>
      <c r="L181" s="47">
        <f ca="1">IFERROR(__xludf.DUMMYFUNCTION("IMPORTRANGE(""https://docs.google.com/spreadsheets/d/1-uDff_7J0KD5mKrp0Vvzr7lt3OU09vwQwhkpOPPYv2Y/edit?usp=sharing"",""งบพรบ!CN21"")"),0)</f>
        <v>0</v>
      </c>
      <c r="M181" s="47">
        <f ca="1">IFERROR(__xludf.DUMMYFUNCTION("IMPORTRANGE(""https://docs.google.com/spreadsheets/d/1-uDff_7J0KD5mKrp0Vvzr7lt3OU09vwQwhkpOPPYv2Y/edit?usp=sharing"",""งบพรบ!CQ21"")"),0)</f>
        <v>0</v>
      </c>
      <c r="N181" s="47">
        <f ca="1">IFERROR(__xludf.DUMMYFUNCTION("IMPORTRANGE(""https://docs.google.com/spreadsheets/d/1-uDff_7J0KD5mKrp0Vvzr7lt3OU09vwQwhkpOPPYv2Y/edit?usp=sharing"",""งบพรบ!CS21"")"),0)</f>
        <v>0</v>
      </c>
      <c r="O181" s="47">
        <f ca="1">IF(L181&gt;0,N181*100/L181,0)</f>
        <v>0</v>
      </c>
      <c r="P181" s="47">
        <f ca="1">IF(M181&gt;0,N181*100/M181,0)</f>
        <v>0</v>
      </c>
    </row>
    <row r="182" spans="1:16" ht="19.5" x14ac:dyDescent="0.3">
      <c r="A182" s="148"/>
      <c r="B182" s="149"/>
      <c r="C182" s="197" t="s">
        <v>16</v>
      </c>
      <c r="D182" s="395" t="s">
        <v>36</v>
      </c>
      <c r="E182" s="151"/>
      <c r="F182" s="151"/>
      <c r="G182" s="152"/>
      <c r="H182" s="196"/>
      <c r="I182" s="45"/>
      <c r="J182" s="45"/>
      <c r="K182" s="46"/>
      <c r="L182" s="46"/>
      <c r="M182" s="46"/>
      <c r="N182" s="46"/>
      <c r="O182" s="46"/>
      <c r="P182" s="46"/>
    </row>
    <row r="183" spans="1:16" ht="18.75" x14ac:dyDescent="0.25">
      <c r="A183" s="227"/>
      <c r="B183" s="41"/>
      <c r="C183" s="228"/>
      <c r="D183" s="229" t="s">
        <v>69</v>
      </c>
      <c r="E183" s="41"/>
      <c r="F183" s="41"/>
      <c r="G183" s="43"/>
      <c r="H183" s="230" t="s">
        <v>33</v>
      </c>
      <c r="I183" s="169">
        <f ca="1">IFERROR(__xludf.DUMMYFUNCTION("IMPORTRANGE(""https://docs.google.com/spreadsheets/d/1eHaY18a8A9IcSdp1K8H6x8fbOy06t2VsZHhMHf-1x7Y/edit?usp=sharing"",""แผน!AA21"")"),7)</f>
        <v>7</v>
      </c>
      <c r="J183" s="250">
        <v>0</v>
      </c>
      <c r="K183" s="47">
        <f ca="1">IF(I183&gt;0,J183*100/I183,0)</f>
        <v>0</v>
      </c>
      <c r="L183" s="46"/>
      <c r="M183" s="46"/>
      <c r="N183" s="46"/>
      <c r="O183" s="46"/>
      <c r="P183" s="46"/>
    </row>
    <row r="184" spans="1:16" ht="18.75" hidden="1" x14ac:dyDescent="0.25">
      <c r="A184" s="227"/>
      <c r="B184" s="228"/>
      <c r="C184" s="228"/>
      <c r="D184" s="231" t="s">
        <v>70</v>
      </c>
      <c r="E184" s="41"/>
      <c r="F184" s="41"/>
      <c r="G184" s="43"/>
      <c r="H184" s="232" t="s">
        <v>33</v>
      </c>
      <c r="I184" s="200">
        <v>0</v>
      </c>
      <c r="J184" s="200">
        <v>0</v>
      </c>
      <c r="K184" s="50">
        <f>IF(I184&gt;0,J184*100/I184,0)</f>
        <v>0</v>
      </c>
      <c r="L184" s="46"/>
      <c r="M184" s="46"/>
      <c r="N184" s="46"/>
      <c r="O184" s="46"/>
      <c r="P184" s="46"/>
    </row>
    <row r="185" spans="1:16" ht="19.5" hidden="1" x14ac:dyDescent="0.3">
      <c r="A185" s="220"/>
      <c r="B185" s="221" t="s">
        <v>71</v>
      </c>
      <c r="C185" s="222"/>
      <c r="D185" s="151"/>
      <c r="E185" s="151"/>
      <c r="F185" s="151"/>
      <c r="G185" s="152"/>
      <c r="H185" s="223" t="s">
        <v>33</v>
      </c>
      <c r="I185" s="224">
        <f ca="1">I230+I231</f>
        <v>0</v>
      </c>
      <c r="J185" s="224">
        <f>J230+J231</f>
        <v>0</v>
      </c>
      <c r="K185" s="225">
        <f ca="1">IF(I185&gt;0,J185*100/I185,0)</f>
        <v>0</v>
      </c>
      <c r="L185" s="226"/>
      <c r="M185" s="226"/>
      <c r="N185" s="226"/>
      <c r="O185" s="226"/>
      <c r="P185" s="226"/>
    </row>
    <row r="186" spans="1:16" ht="19.5" x14ac:dyDescent="0.3">
      <c r="A186" s="136"/>
      <c r="B186" s="41"/>
      <c r="C186" s="197" t="s">
        <v>16</v>
      </c>
      <c r="D186" s="397" t="s">
        <v>17</v>
      </c>
      <c r="E186" s="41"/>
      <c r="F186" s="41"/>
      <c r="G186" s="43"/>
      <c r="H186" s="139" t="s">
        <v>12</v>
      </c>
      <c r="I186" s="45"/>
      <c r="J186" s="45"/>
      <c r="K186" s="46"/>
      <c r="L186" s="140">
        <f ca="1">L187+L188</f>
        <v>218500</v>
      </c>
      <c r="M186" s="140">
        <f ca="1">M187+M188</f>
        <v>152500</v>
      </c>
      <c r="N186" s="140">
        <f ca="1">N187+N188</f>
        <v>25566.67</v>
      </c>
      <c r="O186" s="140">
        <f ca="1">IF(L186&gt;0,N186*100/L186,0)</f>
        <v>11.700993135011442</v>
      </c>
      <c r="P186" s="140">
        <f ca="1">IF(M186&gt;0,N186*100/M186,0)</f>
        <v>16.765029508196722</v>
      </c>
    </row>
    <row r="187" spans="1:16" ht="18.75" hidden="1" x14ac:dyDescent="0.25">
      <c r="A187" s="136"/>
      <c r="B187" s="41"/>
      <c r="C187" s="41"/>
      <c r="D187" s="41"/>
      <c r="E187" s="279" t="s">
        <v>18</v>
      </c>
      <c r="F187" s="41"/>
      <c r="G187" s="43"/>
      <c r="H187" s="141" t="s">
        <v>12</v>
      </c>
      <c r="I187" s="45"/>
      <c r="J187" s="45"/>
      <c r="K187" s="46"/>
      <c r="L187" s="50">
        <f>L190+L193</f>
        <v>0</v>
      </c>
      <c r="M187" s="50">
        <f>M190+M193</f>
        <v>0</v>
      </c>
      <c r="N187" s="50">
        <f>N190+N193</f>
        <v>0</v>
      </c>
      <c r="O187" s="50">
        <f>IF(L187&gt;0,N187*100/L187,0)</f>
        <v>0</v>
      </c>
      <c r="P187" s="50">
        <f>IF(M187&gt;0,N187*100/M187,0)</f>
        <v>0</v>
      </c>
    </row>
    <row r="188" spans="1:16" ht="18.75" hidden="1" x14ac:dyDescent="0.25">
      <c r="A188" s="136"/>
      <c r="B188" s="41"/>
      <c r="C188" s="41"/>
      <c r="D188" s="41"/>
      <c r="E188" s="254" t="s">
        <v>19</v>
      </c>
      <c r="F188" s="41"/>
      <c r="G188" s="43"/>
      <c r="H188" s="142" t="s">
        <v>12</v>
      </c>
      <c r="I188" s="45"/>
      <c r="J188" s="45"/>
      <c r="K188" s="46"/>
      <c r="L188" s="47">
        <f ca="1">L191+L194</f>
        <v>218500</v>
      </c>
      <c r="M188" s="47">
        <f ca="1">M191+M194</f>
        <v>152500</v>
      </c>
      <c r="N188" s="47">
        <f ca="1">N191+N194</f>
        <v>25566.67</v>
      </c>
      <c r="O188" s="47">
        <f ca="1">IF(L188&gt;0,N188*100/L188,0)</f>
        <v>11.700993135011442</v>
      </c>
      <c r="P188" s="47">
        <f ca="1">IF(M188&gt;0,N188*100/M188,0)</f>
        <v>16.765029508196722</v>
      </c>
    </row>
    <row r="189" spans="1:16" ht="18.75" x14ac:dyDescent="0.25">
      <c r="A189" s="136"/>
      <c r="B189" s="41"/>
      <c r="C189" s="41"/>
      <c r="D189" s="42" t="s">
        <v>20</v>
      </c>
      <c r="E189" s="41"/>
      <c r="F189" s="41"/>
      <c r="G189" s="43"/>
      <c r="H189" s="143" t="s">
        <v>12</v>
      </c>
      <c r="I189" s="144"/>
      <c r="J189" s="144"/>
      <c r="K189" s="145"/>
      <c r="L189" s="47">
        <f ca="1">L190+L191</f>
        <v>218500</v>
      </c>
      <c r="M189" s="47">
        <f ca="1">M190+M191</f>
        <v>152500</v>
      </c>
      <c r="N189" s="47">
        <f ca="1">N190+N191</f>
        <v>25566.67</v>
      </c>
      <c r="O189" s="47">
        <f ca="1">IF(L189&gt;0,N189*100/L189,0)</f>
        <v>11.700993135011442</v>
      </c>
      <c r="P189" s="47">
        <f ca="1">IF(M189&gt;0,N189*100/M189,0)</f>
        <v>16.765029508196722</v>
      </c>
    </row>
    <row r="190" spans="1:16" ht="18.75" hidden="1" x14ac:dyDescent="0.25">
      <c r="A190" s="136"/>
      <c r="B190" s="41"/>
      <c r="C190" s="41"/>
      <c r="D190" s="41"/>
      <c r="E190" s="279" t="s">
        <v>34</v>
      </c>
      <c r="F190" s="41"/>
      <c r="G190" s="43"/>
      <c r="H190" s="146" t="s">
        <v>12</v>
      </c>
      <c r="I190" s="144"/>
      <c r="J190" s="144"/>
      <c r="K190" s="145"/>
      <c r="L190" s="50">
        <v>0</v>
      </c>
      <c r="M190" s="50">
        <v>0</v>
      </c>
      <c r="N190" s="50">
        <v>0</v>
      </c>
      <c r="O190" s="50">
        <f>IF(L190&gt;0,N190*100/L190,0)</f>
        <v>0</v>
      </c>
      <c r="P190" s="50">
        <f>IF(M190&gt;0,N190*100/M190,0)</f>
        <v>0</v>
      </c>
    </row>
    <row r="191" spans="1:16" ht="18.75" hidden="1" x14ac:dyDescent="0.25">
      <c r="A191" s="136"/>
      <c r="B191" s="41"/>
      <c r="C191" s="41"/>
      <c r="D191" s="41"/>
      <c r="E191" s="254" t="s">
        <v>35</v>
      </c>
      <c r="F191" s="41"/>
      <c r="G191" s="43"/>
      <c r="H191" s="143" t="s">
        <v>12</v>
      </c>
      <c r="I191" s="144"/>
      <c r="J191" s="144"/>
      <c r="K191" s="145"/>
      <c r="L191" s="47">
        <f ca="1">IFERROR(__xludf.DUMMYFUNCTION("IMPORTRANGE(""https://docs.google.com/spreadsheets/d/1-uDff_7J0KD5mKrp0Vvzr7lt3OU09vwQwhkpOPPYv2Y/edit?usp=sharing"",""งบพรบ!CU21"")"),218500)</f>
        <v>218500</v>
      </c>
      <c r="M191" s="47">
        <f ca="1">IFERROR(__xludf.DUMMYFUNCTION("IMPORTRANGE(""https://docs.google.com/spreadsheets/d/1-uDff_7J0KD5mKrp0Vvzr7lt3OU09vwQwhkpOPPYv2Y/edit?usp=sharing"",""งบพรบ!CZ21"")"),152500)</f>
        <v>152500</v>
      </c>
      <c r="N191" s="47">
        <f ca="1">IFERROR(__xludf.DUMMYFUNCTION("IMPORTRANGE(""https://docs.google.com/spreadsheets/d/1-uDff_7J0KD5mKrp0Vvzr7lt3OU09vwQwhkpOPPYv2Y/edit?usp=sharing"",""งบพรบ!DB21"")"),25566.67)</f>
        <v>25566.67</v>
      </c>
      <c r="O191" s="47">
        <f ca="1">IF(L191&gt;0,N191*100/L191,0)</f>
        <v>11.700993135011442</v>
      </c>
      <c r="P191" s="47">
        <f ca="1">IF(M191&gt;0,N191*100/M191,0)</f>
        <v>16.765029508196722</v>
      </c>
    </row>
    <row r="192" spans="1:16" ht="18.75" x14ac:dyDescent="0.25">
      <c r="A192" s="136"/>
      <c r="B192" s="41"/>
      <c r="C192" s="41"/>
      <c r="D192" s="42" t="s">
        <v>21</v>
      </c>
      <c r="E192" s="41"/>
      <c r="F192" s="41"/>
      <c r="G192" s="43"/>
      <c r="H192" s="147" t="s">
        <v>12</v>
      </c>
      <c r="I192" s="144"/>
      <c r="J192" s="144"/>
      <c r="K192" s="145"/>
      <c r="L192" s="47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</row>
    <row r="193" spans="1:16" ht="18.75" hidden="1" x14ac:dyDescent="0.25">
      <c r="A193" s="136"/>
      <c r="B193" s="41"/>
      <c r="C193" s="41"/>
      <c r="D193" s="41"/>
      <c r="E193" s="279" t="s">
        <v>18</v>
      </c>
      <c r="F193" s="41"/>
      <c r="G193" s="43"/>
      <c r="H193" s="146" t="s">
        <v>12</v>
      </c>
      <c r="I193" s="144"/>
      <c r="J193" s="144"/>
      <c r="K193" s="145"/>
      <c r="L193" s="50">
        <v>0</v>
      </c>
      <c r="M193" s="50">
        <v>0</v>
      </c>
      <c r="N193" s="50">
        <v>0</v>
      </c>
      <c r="O193" s="50">
        <f>IF(L193&gt;0,N193*100/L193,0)</f>
        <v>0</v>
      </c>
      <c r="P193" s="50">
        <f>IF(M193&gt;0,N193*100/M193,0)</f>
        <v>0</v>
      </c>
    </row>
    <row r="194" spans="1:16" ht="18.75" hidden="1" x14ac:dyDescent="0.25">
      <c r="A194" s="136"/>
      <c r="B194" s="41"/>
      <c r="C194" s="41"/>
      <c r="D194" s="41"/>
      <c r="E194" s="254" t="s">
        <v>19</v>
      </c>
      <c r="F194" s="41"/>
      <c r="G194" s="43"/>
      <c r="H194" s="147" t="s">
        <v>12</v>
      </c>
      <c r="I194" s="144"/>
      <c r="J194" s="144"/>
      <c r="K194" s="145"/>
      <c r="L194" s="47">
        <f ca="1">IFERROR(__xludf.DUMMYFUNCTION("IMPORTRANGE(""https://docs.google.com/spreadsheets/d/1-uDff_7J0KD5mKrp0Vvzr7lt3OU09vwQwhkpOPPYv2Y/edit?usp=sharing"",""งบพรบ!CX21"")"),0)</f>
        <v>0</v>
      </c>
      <c r="M194" s="47">
        <f ca="1">IFERROR(__xludf.DUMMYFUNCTION("IMPORTRANGE(""https://docs.google.com/spreadsheets/d/1-uDff_7J0KD5mKrp0Vvzr7lt3OU09vwQwhkpOPPYv2Y/edit?usp=sharing"",""งบพรบ!DA21"")"),0)</f>
        <v>0</v>
      </c>
      <c r="N194" s="47">
        <f ca="1">IFERROR(__xludf.DUMMYFUNCTION("IMPORTRANGE(""https://docs.google.com/spreadsheets/d/1-uDff_7J0KD5mKrp0Vvzr7lt3OU09vwQwhkpOPPYv2Y/edit?usp=sharing"",""งบพรบ!DC21"")"),0)</f>
        <v>0</v>
      </c>
      <c r="O194" s="47">
        <f ca="1">IF(L194&gt;0,N194*100/L194,0)</f>
        <v>0</v>
      </c>
      <c r="P194" s="47">
        <f ca="1">IF(M194&gt;0,N194*100/M194,0)</f>
        <v>0</v>
      </c>
    </row>
    <row r="195" spans="1:16" ht="19.5" x14ac:dyDescent="0.3">
      <c r="A195" s="233"/>
      <c r="B195" s="234"/>
      <c r="C195" s="235" t="s">
        <v>72</v>
      </c>
      <c r="D195" s="236"/>
      <c r="E195" s="236"/>
      <c r="F195" s="236"/>
      <c r="G195" s="237"/>
      <c r="H195" s="238" t="s">
        <v>73</v>
      </c>
      <c r="I195" s="239">
        <f ca="1">I198</f>
        <v>4</v>
      </c>
      <c r="J195" s="239">
        <f>J198</f>
        <v>1</v>
      </c>
      <c r="K195" s="240">
        <f ca="1">IF(I195&gt;0,J195*100/I195,0)</f>
        <v>25</v>
      </c>
      <c r="L195" s="241"/>
      <c r="M195" s="241"/>
      <c r="N195" s="241"/>
      <c r="O195" s="241"/>
      <c r="P195" s="241"/>
    </row>
    <row r="196" spans="1:16" ht="19.5" x14ac:dyDescent="0.3">
      <c r="A196" s="136"/>
      <c r="B196" s="41"/>
      <c r="C196" s="197" t="s">
        <v>16</v>
      </c>
      <c r="D196" s="400" t="s">
        <v>17</v>
      </c>
      <c r="E196" s="41"/>
      <c r="F196" s="41"/>
      <c r="G196" s="43"/>
      <c r="H196" s="243" t="s">
        <v>12</v>
      </c>
      <c r="I196" s="45"/>
      <c r="J196" s="45"/>
      <c r="K196" s="46"/>
      <c r="L196" s="140">
        <f ca="1">IFERROR(__xludf.DUMMYFUNCTION("IMPORTRANGE(""https://docs.google.com/spreadsheets/d/1eHaY18a8A9IcSdp1K8H6x8fbOy06t2VsZHhMHf-1x7Y/edit?usp=sharing"",""แผน!AB21"")"),6000)</f>
        <v>6000</v>
      </c>
      <c r="M196" s="46"/>
      <c r="N196" s="244">
        <v>0</v>
      </c>
      <c r="O196" s="140">
        <f ca="1">IF(L196&gt;0,N196*100/L196,0)</f>
        <v>0</v>
      </c>
      <c r="P196" s="140">
        <f>IF(M196&gt;0,N196*100/M196,0)</f>
        <v>0</v>
      </c>
    </row>
    <row r="197" spans="1:16" ht="19.5" x14ac:dyDescent="0.3">
      <c r="A197" s="148"/>
      <c r="B197" s="149"/>
      <c r="C197" s="197" t="s">
        <v>16</v>
      </c>
      <c r="D197" s="395" t="s">
        <v>36</v>
      </c>
      <c r="E197" s="151"/>
      <c r="F197" s="151"/>
      <c r="G197" s="152"/>
      <c r="H197" s="153"/>
      <c r="I197" s="45"/>
      <c r="J197" s="45"/>
      <c r="K197" s="46"/>
      <c r="L197" s="46"/>
      <c r="M197" s="46"/>
      <c r="N197" s="46"/>
      <c r="O197" s="46"/>
      <c r="P197" s="46"/>
    </row>
    <row r="198" spans="1:16" ht="18.75" x14ac:dyDescent="0.25">
      <c r="A198" s="148"/>
      <c r="B198" s="149"/>
      <c r="C198" s="149"/>
      <c r="D198" s="159" t="s">
        <v>74</v>
      </c>
      <c r="E198" s="155"/>
      <c r="F198" s="155"/>
      <c r="G198" s="153"/>
      <c r="H198" s="251" t="s">
        <v>73</v>
      </c>
      <c r="I198" s="169">
        <f ca="1">IFERROR(__xludf.DUMMYFUNCTION("IMPORTRANGE(""https://docs.google.com/spreadsheets/d/1eHaY18a8A9IcSdp1K8H6x8fbOy06t2VsZHhMHf-1x7Y/edit?usp=sharing"",""แผน!AE21"")"),4)</f>
        <v>4</v>
      </c>
      <c r="J198" s="250">
        <v>1</v>
      </c>
      <c r="K198" s="47">
        <f ca="1">IF(I198&gt;0,J198*100/I198,0)</f>
        <v>25</v>
      </c>
      <c r="L198" s="46"/>
      <c r="M198" s="46"/>
      <c r="N198" s="46"/>
      <c r="O198" s="46"/>
      <c r="P198" s="46"/>
    </row>
    <row r="199" spans="1:16" ht="18.75" x14ac:dyDescent="0.25">
      <c r="A199" s="148"/>
      <c r="B199" s="149"/>
      <c r="C199" s="149"/>
      <c r="D199" s="159" t="s">
        <v>75</v>
      </c>
      <c r="E199" s="155"/>
      <c r="F199" s="155"/>
      <c r="G199" s="153"/>
      <c r="H199" s="230" t="s">
        <v>33</v>
      </c>
      <c r="I199" s="45"/>
      <c r="J199" s="169">
        <f>J200+J201</f>
        <v>32</v>
      </c>
      <c r="K199" s="46"/>
      <c r="L199" s="46"/>
      <c r="M199" s="46"/>
      <c r="N199" s="46"/>
      <c r="O199" s="46"/>
      <c r="P199" s="46"/>
    </row>
    <row r="200" spans="1:16" ht="18.75" x14ac:dyDescent="0.25">
      <c r="A200" s="148"/>
      <c r="B200" s="149"/>
      <c r="C200" s="149"/>
      <c r="D200" s="149"/>
      <c r="E200" s="159" t="s">
        <v>76</v>
      </c>
      <c r="F200" s="155"/>
      <c r="G200" s="153"/>
      <c r="H200" s="230" t="s">
        <v>33</v>
      </c>
      <c r="I200" s="45"/>
      <c r="J200" s="250">
        <v>32</v>
      </c>
      <c r="K200" s="46"/>
      <c r="L200" s="46"/>
      <c r="M200" s="46"/>
      <c r="N200" s="46"/>
      <c r="O200" s="46"/>
      <c r="P200" s="46"/>
    </row>
    <row r="201" spans="1:16" ht="18.75" x14ac:dyDescent="0.25">
      <c r="A201" s="148"/>
      <c r="B201" s="149"/>
      <c r="C201" s="149"/>
      <c r="D201" s="149"/>
      <c r="E201" s="159" t="s">
        <v>77</v>
      </c>
      <c r="F201" s="155"/>
      <c r="G201" s="153"/>
      <c r="H201" s="230" t="s">
        <v>33</v>
      </c>
      <c r="I201" s="45"/>
      <c r="J201" s="250">
        <v>0</v>
      </c>
      <c r="K201" s="46"/>
      <c r="L201" s="46"/>
      <c r="M201" s="46"/>
      <c r="N201" s="46"/>
      <c r="O201" s="46"/>
      <c r="P201" s="46"/>
    </row>
    <row r="202" spans="1:16" ht="19.5" x14ac:dyDescent="0.3">
      <c r="A202" s="233"/>
      <c r="B202" s="234"/>
      <c r="C202" s="235" t="s">
        <v>78</v>
      </c>
      <c r="D202" s="236"/>
      <c r="E202" s="236"/>
      <c r="F202" s="236"/>
      <c r="G202" s="237"/>
      <c r="H202" s="245" t="s">
        <v>79</v>
      </c>
      <c r="I202" s="239">
        <f ca="1">I209</f>
        <v>2</v>
      </c>
      <c r="J202" s="239">
        <f>J209</f>
        <v>0</v>
      </c>
      <c r="K202" s="240">
        <f ca="1">IF(I202&gt;0,J202*100/I202,0)</f>
        <v>0</v>
      </c>
      <c r="L202" s="241"/>
      <c r="M202" s="241"/>
      <c r="N202" s="241"/>
      <c r="O202" s="241"/>
      <c r="P202" s="241"/>
    </row>
    <row r="203" spans="1:16" ht="19.5" x14ac:dyDescent="0.3">
      <c r="A203" s="136"/>
      <c r="B203" s="41"/>
      <c r="C203" s="197" t="s">
        <v>16</v>
      </c>
      <c r="D203" s="400" t="s">
        <v>17</v>
      </c>
      <c r="E203" s="41"/>
      <c r="F203" s="41"/>
      <c r="G203" s="43"/>
      <c r="H203" s="243" t="s">
        <v>12</v>
      </c>
      <c r="I203" s="144"/>
      <c r="J203" s="144"/>
      <c r="K203" s="145"/>
      <c r="L203" s="140">
        <f ca="1">L204+L205+L206+L207</f>
        <v>26000</v>
      </c>
      <c r="M203" s="46"/>
      <c r="N203" s="140">
        <f>N204+N205+N206+N207</f>
        <v>0</v>
      </c>
      <c r="O203" s="140">
        <f ca="1">IF(L203&gt;0,N203*100/L203,0)</f>
        <v>0</v>
      </c>
      <c r="P203" s="140">
        <f>IF(M203&gt;0,N203*100/M203,0)</f>
        <v>0</v>
      </c>
    </row>
    <row r="204" spans="1:16" ht="18.75" x14ac:dyDescent="0.25">
      <c r="A204" s="136"/>
      <c r="B204" s="228"/>
      <c r="C204" s="41"/>
      <c r="D204" s="253" t="s">
        <v>153</v>
      </c>
      <c r="E204" s="41"/>
      <c r="F204" s="41"/>
      <c r="G204" s="43"/>
      <c r="H204" s="143" t="s">
        <v>12</v>
      </c>
      <c r="I204" s="144"/>
      <c r="J204" s="144"/>
      <c r="K204" s="145"/>
      <c r="L204" s="47">
        <f ca="1">IFERROR(__xludf.DUMMYFUNCTION("IMPORTRANGE(""https://docs.google.com/spreadsheets/d/1eHaY18a8A9IcSdp1K8H6x8fbOy06t2VsZHhMHf-1x7Y/edit?usp=sharing"",""แผน!AG21"")"),2000)</f>
        <v>2000</v>
      </c>
      <c r="M204" s="46"/>
      <c r="N204" s="248">
        <v>0</v>
      </c>
      <c r="O204" s="145"/>
      <c r="P204" s="46"/>
    </row>
    <row r="205" spans="1:16" ht="18.75" x14ac:dyDescent="0.25">
      <c r="A205" s="227"/>
      <c r="B205" s="228"/>
      <c r="C205" s="41"/>
      <c r="D205" s="254" t="s">
        <v>81</v>
      </c>
      <c r="E205" s="41"/>
      <c r="F205" s="41"/>
      <c r="G205" s="43"/>
      <c r="H205" s="44" t="s">
        <v>12</v>
      </c>
      <c r="I205" s="45"/>
      <c r="J205" s="45"/>
      <c r="K205" s="46"/>
      <c r="L205" s="47">
        <f ca="1">IFERROR(__xludf.DUMMYFUNCTION("IMPORTRANGE(""https://docs.google.com/spreadsheets/d/1eHaY18a8A9IcSdp1K8H6x8fbOy06t2VsZHhMHf-1x7Y/edit?usp=sharing"",""แผน!AH21"")"),0)</f>
        <v>0</v>
      </c>
      <c r="M205" s="46"/>
      <c r="N205" s="248">
        <v>0</v>
      </c>
      <c r="O205" s="145"/>
      <c r="P205" s="46"/>
    </row>
    <row r="206" spans="1:16" ht="18.75" x14ac:dyDescent="0.25">
      <c r="A206" s="227"/>
      <c r="B206" s="228"/>
      <c r="C206" s="41"/>
      <c r="D206" s="254" t="s">
        <v>82</v>
      </c>
      <c r="E206" s="41"/>
      <c r="F206" s="41"/>
      <c r="G206" s="43"/>
      <c r="H206" s="44" t="s">
        <v>12</v>
      </c>
      <c r="I206" s="45"/>
      <c r="J206" s="45"/>
      <c r="K206" s="46"/>
      <c r="L206" s="47">
        <f ca="1">IFERROR(__xludf.DUMMYFUNCTION("IMPORTRANGE(""https://docs.google.com/spreadsheets/d/1eHaY18a8A9IcSdp1K8H6x8fbOy06t2VsZHhMHf-1x7Y/edit?usp=sharing"",""แผน!AI21"")"),16000)</f>
        <v>16000</v>
      </c>
      <c r="M206" s="46"/>
      <c r="N206" s="248">
        <v>0</v>
      </c>
      <c r="O206" s="145"/>
      <c r="P206" s="46"/>
    </row>
    <row r="207" spans="1:16" ht="18.75" x14ac:dyDescent="0.25">
      <c r="A207" s="227"/>
      <c r="B207" s="228"/>
      <c r="C207" s="41"/>
      <c r="D207" s="254" t="s">
        <v>83</v>
      </c>
      <c r="E207" s="41"/>
      <c r="F207" s="41"/>
      <c r="G207" s="43"/>
      <c r="H207" s="44" t="s">
        <v>12</v>
      </c>
      <c r="I207" s="45"/>
      <c r="J207" s="45"/>
      <c r="K207" s="46"/>
      <c r="L207" s="47">
        <f ca="1">IFERROR(__xludf.DUMMYFUNCTION("IMPORTRANGE(""https://docs.google.com/spreadsheets/d/1eHaY18a8A9IcSdp1K8H6x8fbOy06t2VsZHhMHf-1x7Y/edit?usp=sharing"",""แผน!AJ21"")"),8000)</f>
        <v>8000</v>
      </c>
      <c r="M207" s="46"/>
      <c r="N207" s="248">
        <v>0</v>
      </c>
      <c r="O207" s="145"/>
      <c r="P207" s="46"/>
    </row>
    <row r="208" spans="1:16" ht="19.5" x14ac:dyDescent="0.3">
      <c r="A208" s="148"/>
      <c r="B208" s="149"/>
      <c r="C208" s="197" t="s">
        <v>16</v>
      </c>
      <c r="D208" s="395" t="s">
        <v>36</v>
      </c>
      <c r="E208" s="151"/>
      <c r="F208" s="151"/>
      <c r="G208" s="152"/>
      <c r="H208" s="153"/>
      <c r="I208" s="144"/>
      <c r="J208" s="144"/>
      <c r="K208" s="145"/>
      <c r="L208" s="145"/>
      <c r="M208" s="145"/>
      <c r="N208" s="145"/>
      <c r="O208" s="145"/>
      <c r="P208" s="145"/>
    </row>
    <row r="209" spans="1:16" ht="18.75" x14ac:dyDescent="0.25">
      <c r="A209" s="148"/>
      <c r="B209" s="149"/>
      <c r="C209" s="149"/>
      <c r="D209" s="154" t="s">
        <v>84</v>
      </c>
      <c r="E209" s="155"/>
      <c r="F209" s="155"/>
      <c r="G209" s="153"/>
      <c r="H209" s="249" t="s">
        <v>79</v>
      </c>
      <c r="I209" s="169">
        <f ca="1">IFERROR(__xludf.DUMMYFUNCTION("IMPORTRANGE(""https://docs.google.com/spreadsheets/d/1eHaY18a8A9IcSdp1K8H6x8fbOy06t2VsZHhMHf-1x7Y/edit?usp=sharing"",""แผน!AK21"")"),2)</f>
        <v>2</v>
      </c>
      <c r="J209" s="250">
        <v>0</v>
      </c>
      <c r="K209" s="163">
        <f ca="1">IF(I209&gt;0,J209*100/I209,0)</f>
        <v>0</v>
      </c>
      <c r="L209" s="46"/>
      <c r="M209" s="46"/>
      <c r="N209" s="46"/>
      <c r="O209" s="46"/>
      <c r="P209" s="46"/>
    </row>
    <row r="210" spans="1:16" ht="18.75" x14ac:dyDescent="0.25">
      <c r="A210" s="148"/>
      <c r="B210" s="149"/>
      <c r="C210" s="149"/>
      <c r="D210" s="159" t="s">
        <v>48</v>
      </c>
      <c r="E210" s="155"/>
      <c r="F210" s="155"/>
      <c r="G210" s="153"/>
      <c r="H210" s="153"/>
      <c r="I210" s="45"/>
      <c r="J210" s="45"/>
      <c r="K210" s="145"/>
      <c r="L210" s="46"/>
      <c r="M210" s="46"/>
      <c r="N210" s="46"/>
      <c r="O210" s="46"/>
      <c r="P210" s="46"/>
    </row>
    <row r="211" spans="1:16" ht="18.75" x14ac:dyDescent="0.25">
      <c r="A211" s="148"/>
      <c r="B211" s="149"/>
      <c r="C211" s="149"/>
      <c r="D211" s="155"/>
      <c r="E211" s="159" t="s">
        <v>85</v>
      </c>
      <c r="F211" s="155"/>
      <c r="G211" s="153"/>
      <c r="H211" s="249" t="s">
        <v>79</v>
      </c>
      <c r="I211" s="169">
        <f ca="1">IFERROR(__xludf.DUMMYFUNCTION("IMPORTRANGE(""https://docs.google.com/spreadsheets/d/1eHaY18a8A9IcSdp1K8H6x8fbOy06t2VsZHhMHf-1x7Y/edit?usp=sharing"",""แผน!AK21"")"),2)</f>
        <v>2</v>
      </c>
      <c r="J211" s="250">
        <v>0</v>
      </c>
      <c r="K211" s="163">
        <f ca="1">IF(I211&gt;0,J211*100/I211,0)</f>
        <v>0</v>
      </c>
      <c r="L211" s="46"/>
      <c r="M211" s="46"/>
      <c r="N211" s="46"/>
      <c r="O211" s="46"/>
      <c r="P211" s="46"/>
    </row>
    <row r="212" spans="1:16" ht="18.75" x14ac:dyDescent="0.25">
      <c r="A212" s="148"/>
      <c r="B212" s="149"/>
      <c r="C212" s="149"/>
      <c r="D212" s="155"/>
      <c r="E212" s="159" t="s">
        <v>86</v>
      </c>
      <c r="F212" s="155"/>
      <c r="G212" s="155"/>
      <c r="H212" s="251" t="s">
        <v>87</v>
      </c>
      <c r="I212" s="169">
        <f ca="1">IFERROR(__xludf.DUMMYFUNCTION("IMPORTRANGE(""https://docs.google.com/spreadsheets/d/1eHaY18a8A9IcSdp1K8H6x8fbOy06t2VsZHhMHf-1x7Y/edit?usp=sharing"",""แผน!AK21"")"),2)</f>
        <v>2</v>
      </c>
      <c r="J212" s="250">
        <v>0</v>
      </c>
      <c r="K212" s="163">
        <f ca="1">IF(I212&gt;0,J212*100/I212,0)</f>
        <v>0</v>
      </c>
      <c r="L212" s="46"/>
      <c r="M212" s="46"/>
      <c r="N212" s="46"/>
      <c r="O212" s="46"/>
      <c r="P212" s="46"/>
    </row>
    <row r="213" spans="1:16" ht="19.5" hidden="1" x14ac:dyDescent="0.3">
      <c r="A213" s="233"/>
      <c r="B213" s="234"/>
      <c r="C213" s="235" t="s">
        <v>88</v>
      </c>
      <c r="D213" s="236"/>
      <c r="E213" s="236"/>
      <c r="F213" s="236"/>
      <c r="G213" s="237"/>
      <c r="H213" s="245" t="s">
        <v>79</v>
      </c>
      <c r="I213" s="239">
        <f ca="1">I220</f>
        <v>0</v>
      </c>
      <c r="J213" s="239">
        <f>J220</f>
        <v>0</v>
      </c>
      <c r="K213" s="240">
        <f ca="1">IF(I213&gt;0,J213*100/I213,0)</f>
        <v>0</v>
      </c>
      <c r="L213" s="241"/>
      <c r="M213" s="241"/>
      <c r="N213" s="241"/>
      <c r="O213" s="241"/>
      <c r="P213" s="241"/>
    </row>
    <row r="214" spans="1:16" ht="19.5" hidden="1" x14ac:dyDescent="0.3">
      <c r="A214" s="136"/>
      <c r="B214" s="41"/>
      <c r="C214" s="197" t="s">
        <v>16</v>
      </c>
      <c r="D214" s="400" t="s">
        <v>17</v>
      </c>
      <c r="E214" s="41"/>
      <c r="F214" s="41"/>
      <c r="G214" s="43"/>
      <c r="H214" s="243" t="s">
        <v>12</v>
      </c>
      <c r="I214" s="144"/>
      <c r="J214" s="144"/>
      <c r="K214" s="145"/>
      <c r="L214" s="140">
        <f ca="1">L215+L216+L217</f>
        <v>0</v>
      </c>
      <c r="M214" s="46"/>
      <c r="N214" s="140">
        <f>N215+N216+N217</f>
        <v>0</v>
      </c>
      <c r="O214" s="140">
        <f ca="1">IF(L214&gt;0,N214*100/L214,0)</f>
        <v>0</v>
      </c>
      <c r="P214" s="140">
        <f>IF(M214&gt;0,N214*100/M214,0)</f>
        <v>0</v>
      </c>
    </row>
    <row r="215" spans="1:16" ht="18.75" hidden="1" x14ac:dyDescent="0.25">
      <c r="A215" s="136"/>
      <c r="B215" s="228"/>
      <c r="C215" s="41"/>
      <c r="D215" s="254" t="s">
        <v>80</v>
      </c>
      <c r="E215" s="41"/>
      <c r="F215" s="41"/>
      <c r="G215" s="43"/>
      <c r="H215" s="143" t="s">
        <v>12</v>
      </c>
      <c r="I215" s="144"/>
      <c r="J215" s="144"/>
      <c r="K215" s="145"/>
      <c r="L215" s="47">
        <f ca="1">IFERROR(__xludf.DUMMYFUNCTION("IMPORTRANGE(""https://docs.google.com/spreadsheets/d/1eHaY18a8A9IcSdp1K8H6x8fbOy06t2VsZHhMHf-1x7Y/edit?usp=sharing"",""แผน!AM21"")"),0)</f>
        <v>0</v>
      </c>
      <c r="M215" s="46"/>
      <c r="N215" s="248">
        <v>0</v>
      </c>
      <c r="O215" s="145"/>
      <c r="P215" s="46"/>
    </row>
    <row r="216" spans="1:16" ht="18.75" hidden="1" x14ac:dyDescent="0.25">
      <c r="A216" s="227"/>
      <c r="B216" s="228"/>
      <c r="C216" s="228"/>
      <c r="D216" s="254" t="s">
        <v>89</v>
      </c>
      <c r="E216" s="41"/>
      <c r="F216" s="41"/>
      <c r="G216" s="43"/>
      <c r="H216" s="143" t="s">
        <v>12</v>
      </c>
      <c r="I216" s="45"/>
      <c r="J216" s="45"/>
      <c r="K216" s="46"/>
      <c r="L216" s="47">
        <f ca="1">IFERROR(__xludf.DUMMYFUNCTION("IMPORTRANGE(""https://docs.google.com/spreadsheets/d/1eHaY18a8A9IcSdp1K8H6x8fbOy06t2VsZHhMHf-1x7Y/edit?usp=sharing"",""แผน!AN21"")"),0)</f>
        <v>0</v>
      </c>
      <c r="M216" s="46"/>
      <c r="N216" s="248">
        <v>0</v>
      </c>
      <c r="O216" s="145"/>
      <c r="P216" s="46"/>
    </row>
    <row r="217" spans="1:16" ht="18.75" hidden="1" x14ac:dyDescent="0.25">
      <c r="A217" s="227"/>
      <c r="B217" s="228"/>
      <c r="C217" s="228"/>
      <c r="D217" s="254" t="s">
        <v>82</v>
      </c>
      <c r="E217" s="41"/>
      <c r="F217" s="41"/>
      <c r="G217" s="43"/>
      <c r="H217" s="143" t="s">
        <v>12</v>
      </c>
      <c r="I217" s="45"/>
      <c r="J217" s="45"/>
      <c r="K217" s="46"/>
      <c r="L217" s="47">
        <f ca="1">IFERROR(__xludf.DUMMYFUNCTION("IMPORTRANGE(""https://docs.google.com/spreadsheets/d/1eHaY18a8A9IcSdp1K8H6x8fbOy06t2VsZHhMHf-1x7Y/edit?usp=sharing"",""แผน!AO21"")"),0)</f>
        <v>0</v>
      </c>
      <c r="M217" s="46"/>
      <c r="N217" s="248">
        <v>0</v>
      </c>
      <c r="O217" s="145"/>
      <c r="P217" s="46"/>
    </row>
    <row r="218" spans="1:16" ht="19.5" hidden="1" x14ac:dyDescent="0.3">
      <c r="A218" s="148"/>
      <c r="B218" s="149"/>
      <c r="C218" s="252" t="s">
        <v>16</v>
      </c>
      <c r="D218" s="395" t="s">
        <v>36</v>
      </c>
      <c r="E218" s="151"/>
      <c r="F218" s="151"/>
      <c r="G218" s="152"/>
      <c r="H218" s="153"/>
      <c r="I218" s="144"/>
      <c r="J218" s="45"/>
      <c r="K218" s="46"/>
      <c r="L218" s="46"/>
      <c r="M218" s="46"/>
      <c r="N218" s="46"/>
      <c r="O218" s="145"/>
      <c r="P218" s="145"/>
    </row>
    <row r="219" spans="1:16" ht="18.75" hidden="1" x14ac:dyDescent="0.25">
      <c r="A219" s="148"/>
      <c r="B219" s="149"/>
      <c r="C219" s="149"/>
      <c r="D219" s="154" t="s">
        <v>90</v>
      </c>
      <c r="E219" s="155"/>
      <c r="F219" s="155"/>
      <c r="G219" s="153"/>
      <c r="H219" s="249" t="s">
        <v>79</v>
      </c>
      <c r="I219" s="169">
        <f ca="1">IFERROR(__xludf.DUMMYFUNCTION("IMPORTRANGE(""https://docs.google.com/spreadsheets/d/1eHaY18a8A9IcSdp1K8H6x8fbOy06t2VsZHhMHf-1x7Y/edit?usp=sharing"",""แผน!AP21"")"),0)</f>
        <v>0</v>
      </c>
      <c r="J219" s="250">
        <v>0</v>
      </c>
      <c r="K219" s="47">
        <f ca="1">IF(I219&gt;0,J219*100/I219,0)</f>
        <v>0</v>
      </c>
      <c r="L219" s="46"/>
      <c r="M219" s="46"/>
      <c r="N219" s="46"/>
      <c r="O219" s="46"/>
      <c r="P219" s="46"/>
    </row>
    <row r="220" spans="1:16" ht="18.75" hidden="1" x14ac:dyDescent="0.25">
      <c r="A220" s="148"/>
      <c r="B220" s="149"/>
      <c r="C220" s="149"/>
      <c r="D220" s="154" t="s">
        <v>91</v>
      </c>
      <c r="E220" s="155"/>
      <c r="F220" s="155"/>
      <c r="G220" s="153"/>
      <c r="H220" s="249" t="s">
        <v>79</v>
      </c>
      <c r="I220" s="169">
        <f ca="1">IFERROR(__xludf.DUMMYFUNCTION("IMPORTRANGE(""https://docs.google.com/spreadsheets/d/1eHaY18a8A9IcSdp1K8H6x8fbOy06t2VsZHhMHf-1x7Y/edit?usp=sharing"",""แผน!AP21"")"),0)</f>
        <v>0</v>
      </c>
      <c r="J220" s="250">
        <v>0</v>
      </c>
      <c r="K220" s="47">
        <f ca="1">IF(I220&gt;0,J220*100/I220,0)</f>
        <v>0</v>
      </c>
      <c r="L220" s="46"/>
      <c r="M220" s="46"/>
      <c r="N220" s="46"/>
      <c r="O220" s="46"/>
      <c r="P220" s="46"/>
    </row>
    <row r="221" spans="1:16" ht="19.5" x14ac:dyDescent="0.3">
      <c r="A221" s="233"/>
      <c r="B221" s="234"/>
      <c r="C221" s="235" t="s">
        <v>92</v>
      </c>
      <c r="D221" s="236"/>
      <c r="E221" s="236"/>
      <c r="F221" s="236"/>
      <c r="G221" s="237"/>
      <c r="H221" s="238" t="s">
        <v>93</v>
      </c>
      <c r="I221" s="239">
        <f ca="1">I229</f>
        <v>20000</v>
      </c>
      <c r="J221" s="239">
        <f>J229</f>
        <v>0</v>
      </c>
      <c r="K221" s="240">
        <f ca="1">IF(I221&gt;0,J221*100/I221,0)</f>
        <v>0</v>
      </c>
      <c r="L221" s="241"/>
      <c r="M221" s="241"/>
      <c r="N221" s="241"/>
      <c r="O221" s="241"/>
      <c r="P221" s="241"/>
    </row>
    <row r="222" spans="1:16" ht="19.5" x14ac:dyDescent="0.3">
      <c r="A222" s="136"/>
      <c r="B222" s="41"/>
      <c r="C222" s="197" t="s">
        <v>16</v>
      </c>
      <c r="D222" s="400" t="s">
        <v>17</v>
      </c>
      <c r="E222" s="41"/>
      <c r="F222" s="41"/>
      <c r="G222" s="43"/>
      <c r="H222" s="243" t="s">
        <v>12</v>
      </c>
      <c r="I222" s="144"/>
      <c r="J222" s="144"/>
      <c r="K222" s="145"/>
      <c r="L222" s="140">
        <f ca="1">L223+L224+L225</f>
        <v>4500</v>
      </c>
      <c r="M222" s="46"/>
      <c r="N222" s="140">
        <f>N223+N224+N225</f>
        <v>0</v>
      </c>
      <c r="O222" s="140">
        <f ca="1">IF(L222&gt;0,N222*100/L222,0)</f>
        <v>0</v>
      </c>
      <c r="P222" s="140">
        <f>IF(M222&gt;0,N222*100/M222,0)</f>
        <v>0</v>
      </c>
    </row>
    <row r="223" spans="1:16" ht="18.75" x14ac:dyDescent="0.25">
      <c r="A223" s="136"/>
      <c r="B223" s="228"/>
      <c r="C223" s="41"/>
      <c r="D223" s="253" t="s">
        <v>94</v>
      </c>
      <c r="E223" s="41"/>
      <c r="F223" s="41"/>
      <c r="G223" s="43"/>
      <c r="H223" s="143" t="s">
        <v>12</v>
      </c>
      <c r="I223" s="144"/>
      <c r="J223" s="144"/>
      <c r="K223" s="145"/>
      <c r="L223" s="47">
        <f ca="1">IFERROR(__xludf.DUMMYFUNCTION("IMPORTRANGE(""https://docs.google.com/spreadsheets/d/1eHaY18a8A9IcSdp1K8H6x8fbOy06t2VsZHhMHf-1x7Y/edit?usp=sharing"",""แผน!AR21"")"),3000)</f>
        <v>3000</v>
      </c>
      <c r="M223" s="46"/>
      <c r="N223" s="248">
        <v>0</v>
      </c>
      <c r="O223" s="145"/>
      <c r="P223" s="46"/>
    </row>
    <row r="224" spans="1:16" ht="18.75" x14ac:dyDescent="0.25">
      <c r="A224" s="227"/>
      <c r="B224" s="228"/>
      <c r="C224" s="228"/>
      <c r="D224" s="254" t="s">
        <v>95</v>
      </c>
      <c r="E224" s="41"/>
      <c r="F224" s="41"/>
      <c r="G224" s="43"/>
      <c r="H224" s="143" t="s">
        <v>12</v>
      </c>
      <c r="I224" s="45"/>
      <c r="J224" s="45"/>
      <c r="K224" s="46"/>
      <c r="L224" s="47">
        <f ca="1">IFERROR(__xludf.DUMMYFUNCTION("IMPORTRANGE(""https://docs.google.com/spreadsheets/d/1eHaY18a8A9IcSdp1K8H6x8fbOy06t2VsZHhMHf-1x7Y/edit?usp=sharing"",""แผน!AS21"")"),1500)</f>
        <v>1500</v>
      </c>
      <c r="M224" s="46"/>
      <c r="N224" s="248">
        <v>0</v>
      </c>
      <c r="O224" s="145"/>
      <c r="P224" s="46"/>
    </row>
    <row r="225" spans="1:16" ht="18.75" x14ac:dyDescent="0.25">
      <c r="A225" s="227"/>
      <c r="B225" s="228"/>
      <c r="C225" s="228"/>
      <c r="D225" s="254" t="s">
        <v>82</v>
      </c>
      <c r="E225" s="41"/>
      <c r="F225" s="41"/>
      <c r="G225" s="43"/>
      <c r="H225" s="143" t="s">
        <v>12</v>
      </c>
      <c r="I225" s="45"/>
      <c r="J225" s="45"/>
      <c r="K225" s="46"/>
      <c r="L225" s="47">
        <f ca="1">IFERROR(__xludf.DUMMYFUNCTION("IMPORTRANGE(""https://docs.google.com/spreadsheets/d/1eHaY18a8A9IcSdp1K8H6x8fbOy06t2VsZHhMHf-1x7Y/edit?usp=sharing"",""แผน!AT21"")"),0)</f>
        <v>0</v>
      </c>
      <c r="M225" s="46"/>
      <c r="N225" s="248">
        <v>0</v>
      </c>
      <c r="O225" s="145"/>
      <c r="P225" s="46"/>
    </row>
    <row r="226" spans="1:16" ht="19.5" x14ac:dyDescent="0.3">
      <c r="A226" s="148"/>
      <c r="B226" s="149"/>
      <c r="C226" s="252" t="s">
        <v>16</v>
      </c>
      <c r="D226" s="395" t="s">
        <v>36</v>
      </c>
      <c r="E226" s="151"/>
      <c r="F226" s="151"/>
      <c r="G226" s="152"/>
      <c r="H226" s="153"/>
      <c r="I226" s="144"/>
      <c r="J226" s="144"/>
      <c r="K226" s="145"/>
      <c r="L226" s="145"/>
      <c r="M226" s="145"/>
      <c r="N226" s="145"/>
      <c r="O226" s="145"/>
      <c r="P226" s="145"/>
    </row>
    <row r="227" spans="1:16" ht="18.75" x14ac:dyDescent="0.25">
      <c r="A227" s="148"/>
      <c r="B227" s="149"/>
      <c r="C227" s="149"/>
      <c r="D227" s="254" t="s">
        <v>96</v>
      </c>
      <c r="E227" s="155"/>
      <c r="F227" s="155"/>
      <c r="G227" s="153"/>
      <c r="H227" s="153"/>
      <c r="I227" s="45"/>
      <c r="J227" s="45"/>
      <c r="K227" s="145"/>
      <c r="L227" s="145"/>
      <c r="M227" s="145"/>
      <c r="N227" s="145"/>
      <c r="O227" s="145"/>
      <c r="P227" s="145"/>
    </row>
    <row r="228" spans="1:16" ht="18.75" x14ac:dyDescent="0.25">
      <c r="A228" s="148"/>
      <c r="B228" s="149"/>
      <c r="C228" s="149"/>
      <c r="D228" s="149"/>
      <c r="E228" s="154" t="s">
        <v>97</v>
      </c>
      <c r="F228" s="155"/>
      <c r="G228" s="153"/>
      <c r="H228" s="251" t="s">
        <v>93</v>
      </c>
      <c r="I228" s="169">
        <f ca="1">IFERROR(__xludf.DUMMYFUNCTION("IMPORTRANGE(""https://docs.google.com/spreadsheets/d/1eHaY18a8A9IcSdp1K8H6x8fbOy06t2VsZHhMHf-1x7Y/edit?usp=sharing"",""แผน!AV21"")"),20000)</f>
        <v>20000</v>
      </c>
      <c r="J228" s="250">
        <v>0</v>
      </c>
      <c r="K228" s="163">
        <f ca="1">IF(I228&gt;0,J228*100/I228,0)</f>
        <v>0</v>
      </c>
      <c r="L228" s="145"/>
      <c r="M228" s="145"/>
      <c r="N228" s="145"/>
      <c r="O228" s="145"/>
      <c r="P228" s="145"/>
    </row>
    <row r="229" spans="1:16" ht="18.75" x14ac:dyDescent="0.25">
      <c r="A229" s="148"/>
      <c r="B229" s="149"/>
      <c r="C229" s="149"/>
      <c r="D229" s="149"/>
      <c r="E229" s="154" t="s">
        <v>98</v>
      </c>
      <c r="F229" s="155"/>
      <c r="G229" s="153"/>
      <c r="H229" s="251" t="s">
        <v>93</v>
      </c>
      <c r="I229" s="169">
        <f ca="1">IFERROR(__xludf.DUMMYFUNCTION("IMPORTRANGE(""https://docs.google.com/spreadsheets/d/1eHaY18a8A9IcSdp1K8H6x8fbOy06t2VsZHhMHf-1x7Y/edit?usp=sharing"",""แผน!AV21"")"),20000)</f>
        <v>20000</v>
      </c>
      <c r="J229" s="250">
        <v>0</v>
      </c>
      <c r="K229" s="163">
        <f ca="1">IF(I229&gt;0,J229*100/I229,0)</f>
        <v>0</v>
      </c>
      <c r="L229" s="46"/>
      <c r="M229" s="46"/>
      <c r="N229" s="46"/>
      <c r="O229" s="46"/>
      <c r="P229" s="46"/>
    </row>
    <row r="230" spans="1:16" ht="18.75" x14ac:dyDescent="0.25">
      <c r="A230" s="148"/>
      <c r="B230" s="149"/>
      <c r="C230" s="149"/>
      <c r="D230" s="254" t="s">
        <v>99</v>
      </c>
      <c r="E230" s="155"/>
      <c r="F230" s="155"/>
      <c r="G230" s="153"/>
      <c r="H230" s="251" t="s">
        <v>33</v>
      </c>
      <c r="I230" s="169">
        <f ca="1">IFERROR(__xludf.DUMMYFUNCTION("IMPORTRANGE(""https://docs.google.com/spreadsheets/d/1eHaY18a8A9IcSdp1K8H6x8fbOy06t2VsZHhMHf-1x7Y/edit?usp=sharing"",""แผน!AU21"")"),0)</f>
        <v>0</v>
      </c>
      <c r="J230" s="250">
        <v>0</v>
      </c>
      <c r="K230" s="163">
        <f ca="1">IF(I230&gt;0,J230*100/I230,0)</f>
        <v>0</v>
      </c>
      <c r="L230" s="46"/>
      <c r="M230" s="46"/>
      <c r="N230" s="46"/>
      <c r="O230" s="46"/>
      <c r="P230" s="46"/>
    </row>
    <row r="231" spans="1:16" ht="19.5" hidden="1" x14ac:dyDescent="0.3">
      <c r="A231" s="233"/>
      <c r="B231" s="234"/>
      <c r="C231" s="235" t="s">
        <v>100</v>
      </c>
      <c r="D231" s="236"/>
      <c r="E231" s="236"/>
      <c r="F231" s="236"/>
      <c r="G231" s="237"/>
      <c r="H231" s="238" t="s">
        <v>33</v>
      </c>
      <c r="I231" s="239">
        <f ca="1">I242+I253</f>
        <v>0</v>
      </c>
      <c r="J231" s="239">
        <f>J242+J253</f>
        <v>0</v>
      </c>
      <c r="K231" s="240">
        <f ca="1">IF(I231&gt;0,J231*100/I231,0)</f>
        <v>0</v>
      </c>
      <c r="L231" s="241"/>
      <c r="M231" s="241"/>
      <c r="N231" s="241"/>
      <c r="O231" s="241"/>
      <c r="P231" s="241"/>
    </row>
    <row r="232" spans="1:16" ht="19.5" hidden="1" x14ac:dyDescent="0.3">
      <c r="A232" s="136"/>
      <c r="B232" s="41"/>
      <c r="C232" s="197" t="s">
        <v>16</v>
      </c>
      <c r="D232" s="397" t="s">
        <v>17</v>
      </c>
      <c r="E232" s="41"/>
      <c r="F232" s="41"/>
      <c r="G232" s="43"/>
      <c r="H232" s="243" t="s">
        <v>12</v>
      </c>
      <c r="I232" s="144"/>
      <c r="J232" s="144"/>
      <c r="K232" s="145"/>
      <c r="L232" s="140">
        <f ca="1">L243+L254</f>
        <v>0</v>
      </c>
      <c r="M232" s="46"/>
      <c r="N232" s="140">
        <f>N243+N254</f>
        <v>0</v>
      </c>
      <c r="O232" s="46"/>
      <c r="P232" s="46"/>
    </row>
    <row r="233" spans="1:16" ht="18.75" hidden="1" x14ac:dyDescent="0.25">
      <c r="A233" s="136"/>
      <c r="B233" s="228"/>
      <c r="C233" s="41"/>
      <c r="D233" s="254" t="s">
        <v>80</v>
      </c>
      <c r="E233" s="41"/>
      <c r="F233" s="41"/>
      <c r="G233" s="43"/>
      <c r="H233" s="143" t="s">
        <v>12</v>
      </c>
      <c r="I233" s="144"/>
      <c r="J233" s="144"/>
      <c r="K233" s="145"/>
      <c r="L233" s="47">
        <f ca="1">L244+L255</f>
        <v>0</v>
      </c>
      <c r="M233" s="46"/>
      <c r="N233" s="47">
        <f>N244+N255</f>
        <v>0</v>
      </c>
      <c r="O233" s="46"/>
      <c r="P233" s="46"/>
    </row>
    <row r="234" spans="1:16" ht="18.75" hidden="1" x14ac:dyDescent="0.25">
      <c r="A234" s="227"/>
      <c r="B234" s="228"/>
      <c r="C234" s="228"/>
      <c r="D234" s="254" t="s">
        <v>82</v>
      </c>
      <c r="E234" s="41"/>
      <c r="F234" s="41"/>
      <c r="G234" s="43"/>
      <c r="H234" s="143" t="s">
        <v>12</v>
      </c>
      <c r="I234" s="45"/>
      <c r="J234" s="45"/>
      <c r="K234" s="46"/>
      <c r="L234" s="47">
        <f ca="1">L245+L256</f>
        <v>0</v>
      </c>
      <c r="M234" s="46"/>
      <c r="N234" s="47">
        <f>N245+N256</f>
        <v>0</v>
      </c>
      <c r="O234" s="46"/>
      <c r="P234" s="46"/>
    </row>
    <row r="235" spans="1:16" ht="18.75" hidden="1" x14ac:dyDescent="0.25">
      <c r="A235" s="227"/>
      <c r="B235" s="228"/>
      <c r="C235" s="228"/>
      <c r="D235" s="254" t="s">
        <v>101</v>
      </c>
      <c r="E235" s="41"/>
      <c r="F235" s="41"/>
      <c r="G235" s="43"/>
      <c r="H235" s="143" t="s">
        <v>12</v>
      </c>
      <c r="I235" s="45"/>
      <c r="J235" s="45"/>
      <c r="K235" s="46"/>
      <c r="L235" s="47">
        <f ca="1">L246+L257</f>
        <v>0</v>
      </c>
      <c r="M235" s="46"/>
      <c r="N235" s="47">
        <f>N246+N257</f>
        <v>0</v>
      </c>
      <c r="O235" s="46"/>
      <c r="P235" s="46"/>
    </row>
    <row r="236" spans="1:16" ht="18.75" hidden="1" x14ac:dyDescent="0.25">
      <c r="A236" s="227"/>
      <c r="B236" s="228"/>
      <c r="C236" s="228"/>
      <c r="D236" s="254" t="s">
        <v>102</v>
      </c>
      <c r="E236" s="41"/>
      <c r="F236" s="41"/>
      <c r="G236" s="43"/>
      <c r="H236" s="143" t="s">
        <v>12</v>
      </c>
      <c r="I236" s="45"/>
      <c r="J236" s="45"/>
      <c r="K236" s="46"/>
      <c r="L236" s="47">
        <f ca="1">L247+L258</f>
        <v>0</v>
      </c>
      <c r="M236" s="46"/>
      <c r="N236" s="47">
        <f>N247+N258</f>
        <v>0</v>
      </c>
      <c r="O236" s="46"/>
      <c r="P236" s="46"/>
    </row>
    <row r="237" spans="1:16" ht="19.5" hidden="1" x14ac:dyDescent="0.3">
      <c r="A237" s="148"/>
      <c r="B237" s="149"/>
      <c r="C237" s="252" t="s">
        <v>16</v>
      </c>
      <c r="D237" s="395" t="s">
        <v>36</v>
      </c>
      <c r="E237" s="151"/>
      <c r="F237" s="151"/>
      <c r="G237" s="152"/>
      <c r="H237" s="153"/>
      <c r="I237" s="144"/>
      <c r="J237" s="45"/>
      <c r="K237" s="46"/>
      <c r="L237" s="46"/>
      <c r="M237" s="46"/>
      <c r="N237" s="46"/>
      <c r="O237" s="145"/>
      <c r="P237" s="145"/>
    </row>
    <row r="238" spans="1:16" ht="18.75" hidden="1" x14ac:dyDescent="0.25">
      <c r="A238" s="148"/>
      <c r="B238" s="149"/>
      <c r="C238" s="149"/>
      <c r="D238" s="159" t="s">
        <v>103</v>
      </c>
      <c r="E238" s="155"/>
      <c r="F238" s="155"/>
      <c r="G238" s="153"/>
      <c r="H238" s="251" t="s">
        <v>33</v>
      </c>
      <c r="I238" s="169">
        <f ca="1">I249+I260</f>
        <v>0</v>
      </c>
      <c r="J238" s="169">
        <f>J249+J260</f>
        <v>0</v>
      </c>
      <c r="K238" s="47">
        <f ca="1">IF(I238&gt;0,J238*100/I238,0)</f>
        <v>0</v>
      </c>
      <c r="L238" s="46"/>
      <c r="M238" s="46"/>
      <c r="N238" s="46"/>
      <c r="O238" s="46"/>
      <c r="P238" s="46"/>
    </row>
    <row r="239" spans="1:16" ht="18.75" hidden="1" x14ac:dyDescent="0.25">
      <c r="A239" s="148"/>
      <c r="B239" s="149"/>
      <c r="C239" s="149"/>
      <c r="D239" s="255" t="s">
        <v>41</v>
      </c>
      <c r="E239" s="155"/>
      <c r="F239" s="155"/>
      <c r="G239" s="153"/>
      <c r="H239" s="153"/>
      <c r="I239" s="45"/>
      <c r="J239" s="45"/>
      <c r="K239" s="46"/>
      <c r="L239" s="46"/>
      <c r="M239" s="46"/>
      <c r="N239" s="46"/>
      <c r="O239" s="145"/>
      <c r="P239" s="145"/>
    </row>
    <row r="240" spans="1:16" ht="18.75" hidden="1" x14ac:dyDescent="0.25">
      <c r="A240" s="148"/>
      <c r="B240" s="149"/>
      <c r="C240" s="149"/>
      <c r="D240" s="149"/>
      <c r="E240" s="154" t="s">
        <v>104</v>
      </c>
      <c r="F240" s="155"/>
      <c r="G240" s="153"/>
      <c r="H240" s="251" t="s">
        <v>33</v>
      </c>
      <c r="I240" s="169">
        <f>I251+I262</f>
        <v>0</v>
      </c>
      <c r="J240" s="169">
        <f>J251+J262</f>
        <v>0</v>
      </c>
      <c r="K240" s="47">
        <f>IF(I240&gt;0,J240*100/I240,0)</f>
        <v>0</v>
      </c>
      <c r="L240" s="46"/>
      <c r="M240" s="46"/>
      <c r="N240" s="46"/>
      <c r="O240" s="46"/>
      <c r="P240" s="46"/>
    </row>
    <row r="241" spans="1:16" ht="18.75" hidden="1" x14ac:dyDescent="0.25">
      <c r="A241" s="148"/>
      <c r="B241" s="149"/>
      <c r="C241" s="149"/>
      <c r="D241" s="149"/>
      <c r="E241" s="154" t="s">
        <v>105</v>
      </c>
      <c r="F241" s="155"/>
      <c r="G241" s="153"/>
      <c r="H241" s="251" t="s">
        <v>54</v>
      </c>
      <c r="I241" s="169">
        <f>I252+I263</f>
        <v>0</v>
      </c>
      <c r="J241" s="169">
        <f>J252+J263</f>
        <v>0</v>
      </c>
      <c r="K241" s="47">
        <f>IF(I241&gt;0,J241*100/I241,0)</f>
        <v>0</v>
      </c>
      <c r="L241" s="46"/>
      <c r="M241" s="46"/>
      <c r="N241" s="46"/>
      <c r="O241" s="46"/>
      <c r="P241" s="46"/>
    </row>
    <row r="242" spans="1:16" ht="19.5" hidden="1" x14ac:dyDescent="0.3">
      <c r="A242" s="233"/>
      <c r="B242" s="234"/>
      <c r="C242" s="256" t="s">
        <v>106</v>
      </c>
      <c r="D242" s="236"/>
      <c r="E242" s="236"/>
      <c r="F242" s="236"/>
      <c r="G242" s="237"/>
      <c r="H242" s="257" t="s">
        <v>33</v>
      </c>
      <c r="I242" s="258">
        <f ca="1">I249</f>
        <v>0</v>
      </c>
      <c r="J242" s="258">
        <f>J249</f>
        <v>0</v>
      </c>
      <c r="K242" s="259">
        <f ca="1">IF(I242&gt;0,J242*100/I242,0)</f>
        <v>0</v>
      </c>
      <c r="L242" s="241"/>
      <c r="M242" s="241"/>
      <c r="N242" s="241"/>
      <c r="O242" s="241"/>
      <c r="P242" s="241"/>
    </row>
    <row r="243" spans="1:16" ht="19.5" hidden="1" x14ac:dyDescent="0.3">
      <c r="A243" s="136"/>
      <c r="B243" s="41"/>
      <c r="C243" s="260" t="s">
        <v>16</v>
      </c>
      <c r="D243" s="261" t="s">
        <v>17</v>
      </c>
      <c r="E243" s="41"/>
      <c r="F243" s="41"/>
      <c r="G243" s="43"/>
      <c r="H243" s="262" t="s">
        <v>12</v>
      </c>
      <c r="I243" s="144"/>
      <c r="J243" s="144"/>
      <c r="K243" s="145"/>
      <c r="L243" s="263">
        <f ca="1">L244+L245+L246+L247</f>
        <v>0</v>
      </c>
      <c r="M243" s="46"/>
      <c r="N243" s="263">
        <f>N244+N245+N246+N247</f>
        <v>0</v>
      </c>
      <c r="O243" s="263">
        <f ca="1">IF(L243&gt;0,N243*100/L243,0)</f>
        <v>0</v>
      </c>
      <c r="P243" s="263">
        <f>IF(M243&gt;0,N243*100/M243,0)</f>
        <v>0</v>
      </c>
    </row>
    <row r="244" spans="1:16" ht="18.75" hidden="1" x14ac:dyDescent="0.25">
      <c r="A244" s="136"/>
      <c r="B244" s="228"/>
      <c r="C244" s="41"/>
      <c r="D244" s="279" t="s">
        <v>80</v>
      </c>
      <c r="E244" s="41"/>
      <c r="F244" s="41"/>
      <c r="G244" s="43"/>
      <c r="H244" s="146" t="s">
        <v>12</v>
      </c>
      <c r="I244" s="144"/>
      <c r="J244" s="144"/>
      <c r="K244" s="145"/>
      <c r="L244" s="50">
        <f ca="1">IFERROR(__xludf.DUMMYFUNCTION("IMPORTRANGE(""https://docs.google.com/spreadsheets/d/1eHaY18a8A9IcSdp1K8H6x8fbOy06t2VsZHhMHf-1x7Y/edit?usp=sharing"",""แผน!AX21"")"),0)</f>
        <v>0</v>
      </c>
      <c r="M244" s="46"/>
      <c r="N244" s="264">
        <v>0</v>
      </c>
      <c r="O244" s="46"/>
      <c r="P244" s="46"/>
    </row>
    <row r="245" spans="1:16" ht="18.75" hidden="1" x14ac:dyDescent="0.25">
      <c r="A245" s="227"/>
      <c r="B245" s="228"/>
      <c r="C245" s="228"/>
      <c r="D245" s="279" t="s">
        <v>82</v>
      </c>
      <c r="E245" s="41"/>
      <c r="F245" s="41"/>
      <c r="G245" s="43"/>
      <c r="H245" s="146" t="s">
        <v>12</v>
      </c>
      <c r="I245" s="45"/>
      <c r="J245" s="45"/>
      <c r="K245" s="46"/>
      <c r="L245" s="50">
        <f ca="1">IFERROR(__xludf.DUMMYFUNCTION("IMPORTRANGE(""https://docs.google.com/spreadsheets/d/1eHaY18a8A9IcSdp1K8H6x8fbOy06t2VsZHhMHf-1x7Y/edit?usp=sharing"",""แผน!AY21"")"),0)</f>
        <v>0</v>
      </c>
      <c r="M245" s="46"/>
      <c r="N245" s="264">
        <v>0</v>
      </c>
      <c r="O245" s="46"/>
      <c r="P245" s="46"/>
    </row>
    <row r="246" spans="1:16" ht="18.75" hidden="1" x14ac:dyDescent="0.25">
      <c r="A246" s="227"/>
      <c r="B246" s="228"/>
      <c r="C246" s="228"/>
      <c r="D246" s="279" t="s">
        <v>101</v>
      </c>
      <c r="E246" s="41"/>
      <c r="F246" s="41"/>
      <c r="G246" s="43"/>
      <c r="H246" s="146" t="s">
        <v>12</v>
      </c>
      <c r="I246" s="45"/>
      <c r="J246" s="45"/>
      <c r="K246" s="46"/>
      <c r="L246" s="50">
        <f ca="1">IFERROR(__xludf.DUMMYFUNCTION("IMPORTRANGE(""https://docs.google.com/spreadsheets/d/1eHaY18a8A9IcSdp1K8H6x8fbOy06t2VsZHhMHf-1x7Y/edit?usp=sharing"",""แผน!AZ21"")"),0)</f>
        <v>0</v>
      </c>
      <c r="M246" s="46"/>
      <c r="N246" s="264">
        <v>0</v>
      </c>
      <c r="O246" s="46"/>
      <c r="P246" s="46"/>
    </row>
    <row r="247" spans="1:16" ht="18.75" hidden="1" x14ac:dyDescent="0.25">
      <c r="A247" s="227"/>
      <c r="B247" s="228"/>
      <c r="C247" s="228"/>
      <c r="D247" s="279" t="s">
        <v>102</v>
      </c>
      <c r="E247" s="41"/>
      <c r="F247" s="41"/>
      <c r="G247" s="43"/>
      <c r="H247" s="146" t="s">
        <v>12</v>
      </c>
      <c r="I247" s="45"/>
      <c r="J247" s="45"/>
      <c r="K247" s="46"/>
      <c r="L247" s="50">
        <f ca="1">IFERROR(__xludf.DUMMYFUNCTION("IMPORTRANGE(""https://docs.google.com/spreadsheets/d/1eHaY18a8A9IcSdp1K8H6x8fbOy06t2VsZHhMHf-1x7Y/edit?usp=sharing"",""แผน!BA21"")"),0)</f>
        <v>0</v>
      </c>
      <c r="M247" s="46"/>
      <c r="N247" s="264">
        <v>0</v>
      </c>
      <c r="O247" s="46"/>
      <c r="P247" s="46"/>
    </row>
    <row r="248" spans="1:16" ht="19.5" hidden="1" x14ac:dyDescent="0.3">
      <c r="A248" s="148"/>
      <c r="B248" s="149"/>
      <c r="C248" s="265" t="s">
        <v>16</v>
      </c>
      <c r="D248" s="394" t="s">
        <v>36</v>
      </c>
      <c r="E248" s="151"/>
      <c r="F248" s="151"/>
      <c r="G248" s="152"/>
      <c r="H248" s="153"/>
      <c r="I248" s="144"/>
      <c r="J248" s="45"/>
      <c r="K248" s="46"/>
      <c r="L248" s="46"/>
      <c r="M248" s="46"/>
      <c r="N248" s="46"/>
      <c r="O248" s="145"/>
      <c r="P248" s="145"/>
    </row>
    <row r="249" spans="1:16" ht="18.75" hidden="1" x14ac:dyDescent="0.25">
      <c r="A249" s="148"/>
      <c r="B249" s="149"/>
      <c r="C249" s="149"/>
      <c r="D249" s="267" t="s">
        <v>103</v>
      </c>
      <c r="E249" s="155"/>
      <c r="F249" s="155"/>
      <c r="G249" s="153"/>
      <c r="H249" s="268" t="s">
        <v>33</v>
      </c>
      <c r="I249" s="200">
        <f ca="1">IFERROR(__xludf.DUMMYFUNCTION("IMPORTRANGE(""https://docs.google.com/spreadsheets/d/1eHaY18a8A9IcSdp1K8H6x8fbOy06t2VsZHhMHf-1x7Y/edit?usp=sharing"",""แผน!BG21"")"),0)</f>
        <v>0</v>
      </c>
      <c r="J249" s="201">
        <v>0</v>
      </c>
      <c r="K249" s="50">
        <f ca="1">IF(I249&gt;0,J249*100/I249,0)</f>
        <v>0</v>
      </c>
      <c r="L249" s="46"/>
      <c r="M249" s="46"/>
      <c r="N249" s="46"/>
      <c r="O249" s="46"/>
      <c r="P249" s="46"/>
    </row>
    <row r="250" spans="1:16" ht="18.75" hidden="1" x14ac:dyDescent="0.25">
      <c r="A250" s="148"/>
      <c r="B250" s="149"/>
      <c r="C250" s="149"/>
      <c r="D250" s="269" t="s">
        <v>41</v>
      </c>
      <c r="E250" s="155"/>
      <c r="F250" s="155"/>
      <c r="G250" s="153"/>
      <c r="H250" s="153"/>
      <c r="I250" s="45"/>
      <c r="J250" s="45"/>
      <c r="K250" s="46"/>
      <c r="L250" s="46"/>
      <c r="M250" s="46"/>
      <c r="N250" s="46"/>
      <c r="O250" s="145"/>
      <c r="P250" s="145"/>
    </row>
    <row r="251" spans="1:16" ht="18.75" hidden="1" x14ac:dyDescent="0.25">
      <c r="A251" s="148"/>
      <c r="B251" s="149"/>
      <c r="C251" s="149"/>
      <c r="D251" s="149"/>
      <c r="E251" s="270" t="s">
        <v>104</v>
      </c>
      <c r="F251" s="155"/>
      <c r="G251" s="153"/>
      <c r="H251" s="268" t="s">
        <v>33</v>
      </c>
      <c r="I251" s="200">
        <v>0</v>
      </c>
      <c r="J251" s="201">
        <v>0</v>
      </c>
      <c r="K251" s="50">
        <f>IF(I251&gt;0,J251*100/I251,0)</f>
        <v>0</v>
      </c>
      <c r="L251" s="46"/>
      <c r="M251" s="46"/>
      <c r="N251" s="46"/>
      <c r="O251" s="46"/>
      <c r="P251" s="46"/>
    </row>
    <row r="252" spans="1:16" ht="18.75" hidden="1" x14ac:dyDescent="0.25">
      <c r="A252" s="148"/>
      <c r="B252" s="149"/>
      <c r="C252" s="149"/>
      <c r="D252" s="149"/>
      <c r="E252" s="270" t="s">
        <v>105</v>
      </c>
      <c r="F252" s="155"/>
      <c r="G252" s="153"/>
      <c r="H252" s="268" t="s">
        <v>54</v>
      </c>
      <c r="I252" s="200">
        <v>0</v>
      </c>
      <c r="J252" s="201">
        <v>0</v>
      </c>
      <c r="K252" s="50">
        <f>IF(I252&gt;0,J252*100/I252,0)</f>
        <v>0</v>
      </c>
      <c r="L252" s="46"/>
      <c r="M252" s="46"/>
      <c r="N252" s="46"/>
      <c r="O252" s="46"/>
      <c r="P252" s="46"/>
    </row>
    <row r="253" spans="1:16" ht="19.5" hidden="1" x14ac:dyDescent="0.3">
      <c r="A253" s="233"/>
      <c r="B253" s="234"/>
      <c r="C253" s="256" t="s">
        <v>107</v>
      </c>
      <c r="D253" s="236"/>
      <c r="E253" s="236"/>
      <c r="F253" s="236"/>
      <c r="G253" s="237"/>
      <c r="H253" s="257" t="s">
        <v>33</v>
      </c>
      <c r="I253" s="258">
        <f ca="1">I260</f>
        <v>0</v>
      </c>
      <c r="J253" s="258">
        <f>J260</f>
        <v>0</v>
      </c>
      <c r="K253" s="259">
        <f ca="1">IF(I253&gt;0,J253*100/I253,0)</f>
        <v>0</v>
      </c>
      <c r="L253" s="241"/>
      <c r="M253" s="241"/>
      <c r="N253" s="241"/>
      <c r="O253" s="241"/>
      <c r="P253" s="241"/>
    </row>
    <row r="254" spans="1:16" ht="19.5" hidden="1" x14ac:dyDescent="0.3">
      <c r="A254" s="136"/>
      <c r="B254" s="41"/>
      <c r="C254" s="260" t="s">
        <v>16</v>
      </c>
      <c r="D254" s="399" t="s">
        <v>17</v>
      </c>
      <c r="E254" s="41"/>
      <c r="F254" s="41"/>
      <c r="G254" s="43"/>
      <c r="H254" s="262" t="s">
        <v>12</v>
      </c>
      <c r="I254" s="144"/>
      <c r="J254" s="144"/>
      <c r="K254" s="145"/>
      <c r="L254" s="263">
        <f ca="1">L255+L256+L257+L258</f>
        <v>0</v>
      </c>
      <c r="M254" s="46"/>
      <c r="N254" s="263">
        <f>N255+N256+N257+N258</f>
        <v>0</v>
      </c>
      <c r="O254" s="263">
        <f ca="1">IF(L254&gt;0,N254*100/L254,0)</f>
        <v>0</v>
      </c>
      <c r="P254" s="263">
        <f>IF(M254&gt;0,N254*100/M254,0)</f>
        <v>0</v>
      </c>
    </row>
    <row r="255" spans="1:16" ht="18.75" hidden="1" x14ac:dyDescent="0.25">
      <c r="A255" s="136"/>
      <c r="B255" s="228"/>
      <c r="C255" s="41"/>
      <c r="D255" s="279" t="s">
        <v>80</v>
      </c>
      <c r="E255" s="41"/>
      <c r="F255" s="41"/>
      <c r="G255" s="43"/>
      <c r="H255" s="146" t="s">
        <v>12</v>
      </c>
      <c r="I255" s="144"/>
      <c r="J255" s="144"/>
      <c r="K255" s="145"/>
      <c r="L255" s="50">
        <f ca="1">IFERROR(__xludf.DUMMYFUNCTION("IMPORTRANGE(""https://docs.google.com/spreadsheets/d/1eHaY18a8A9IcSdp1K8H6x8fbOy06t2VsZHhMHf-1x7Y/edit?usp=sharing"",""แผน!BB21"")"),0)</f>
        <v>0</v>
      </c>
      <c r="M255" s="46"/>
      <c r="N255" s="264">
        <v>0</v>
      </c>
      <c r="O255" s="46"/>
      <c r="P255" s="46"/>
    </row>
    <row r="256" spans="1:16" ht="18.75" hidden="1" x14ac:dyDescent="0.25">
      <c r="A256" s="227"/>
      <c r="B256" s="228"/>
      <c r="C256" s="228"/>
      <c r="D256" s="279" t="s">
        <v>82</v>
      </c>
      <c r="E256" s="41"/>
      <c r="F256" s="41"/>
      <c r="G256" s="43"/>
      <c r="H256" s="146" t="s">
        <v>12</v>
      </c>
      <c r="I256" s="45"/>
      <c r="J256" s="45"/>
      <c r="K256" s="46"/>
      <c r="L256" s="50">
        <f ca="1">IFERROR(__xludf.DUMMYFUNCTION("IMPORTRANGE(""https://docs.google.com/spreadsheets/d/1eHaY18a8A9IcSdp1K8H6x8fbOy06t2VsZHhMHf-1x7Y/edit?usp=sharing"",""แผน!BC21"")"),0)</f>
        <v>0</v>
      </c>
      <c r="M256" s="46"/>
      <c r="N256" s="264">
        <v>0</v>
      </c>
      <c r="O256" s="46"/>
      <c r="P256" s="46"/>
    </row>
    <row r="257" spans="1:16" ht="18.75" hidden="1" x14ac:dyDescent="0.25">
      <c r="A257" s="227"/>
      <c r="B257" s="228"/>
      <c r="C257" s="228"/>
      <c r="D257" s="279" t="s">
        <v>101</v>
      </c>
      <c r="E257" s="41"/>
      <c r="F257" s="41"/>
      <c r="G257" s="43"/>
      <c r="H257" s="146" t="s">
        <v>12</v>
      </c>
      <c r="I257" s="45"/>
      <c r="J257" s="45"/>
      <c r="K257" s="46"/>
      <c r="L257" s="50">
        <f ca="1">IFERROR(__xludf.DUMMYFUNCTION("IMPORTRANGE(""https://docs.google.com/spreadsheets/d/1eHaY18a8A9IcSdp1K8H6x8fbOy06t2VsZHhMHf-1x7Y/edit?usp=sharing"",""แผน!BD21"")"),0)</f>
        <v>0</v>
      </c>
      <c r="M257" s="46"/>
      <c r="N257" s="264">
        <v>0</v>
      </c>
      <c r="O257" s="46"/>
      <c r="P257" s="46"/>
    </row>
    <row r="258" spans="1:16" ht="18.75" hidden="1" x14ac:dyDescent="0.25">
      <c r="A258" s="227"/>
      <c r="B258" s="228"/>
      <c r="C258" s="228"/>
      <c r="D258" s="279" t="s">
        <v>102</v>
      </c>
      <c r="E258" s="41"/>
      <c r="F258" s="41"/>
      <c r="G258" s="43"/>
      <c r="H258" s="146" t="s">
        <v>12</v>
      </c>
      <c r="I258" s="45"/>
      <c r="J258" s="45"/>
      <c r="K258" s="46"/>
      <c r="L258" s="50">
        <f ca="1">IFERROR(__xludf.DUMMYFUNCTION("IMPORTRANGE(""https://docs.google.com/spreadsheets/d/1eHaY18a8A9IcSdp1K8H6x8fbOy06t2VsZHhMHf-1x7Y/edit?usp=sharing"",""แผน!BE21"")"),0)</f>
        <v>0</v>
      </c>
      <c r="M258" s="46"/>
      <c r="N258" s="264">
        <v>0</v>
      </c>
      <c r="O258" s="46"/>
      <c r="P258" s="46"/>
    </row>
    <row r="259" spans="1:16" ht="19.5" hidden="1" x14ac:dyDescent="0.3">
      <c r="A259" s="148"/>
      <c r="B259" s="149"/>
      <c r="C259" s="265" t="s">
        <v>16</v>
      </c>
      <c r="D259" s="394" t="s">
        <v>36</v>
      </c>
      <c r="E259" s="151"/>
      <c r="F259" s="151"/>
      <c r="G259" s="152"/>
      <c r="H259" s="153"/>
      <c r="I259" s="144"/>
      <c r="J259" s="45"/>
      <c r="K259" s="46"/>
      <c r="L259" s="46"/>
      <c r="M259" s="46"/>
      <c r="N259" s="46"/>
      <c r="O259" s="145"/>
      <c r="P259" s="145"/>
    </row>
    <row r="260" spans="1:16" ht="18.75" hidden="1" x14ac:dyDescent="0.25">
      <c r="A260" s="148"/>
      <c r="B260" s="149"/>
      <c r="C260" s="149"/>
      <c r="D260" s="267" t="s">
        <v>103</v>
      </c>
      <c r="E260" s="155"/>
      <c r="F260" s="155"/>
      <c r="G260" s="153"/>
      <c r="H260" s="268" t="s">
        <v>33</v>
      </c>
      <c r="I260" s="200">
        <f ca="1">IFERROR(__xludf.DUMMYFUNCTION("IMPORTRANGE(""https://docs.google.com/spreadsheets/d/1eHaY18a8A9IcSdp1K8H6x8fbOy06t2VsZHhMHf-1x7Y/edit?usp=sharing"",""แผน!BH21"")"),0)</f>
        <v>0</v>
      </c>
      <c r="J260" s="201">
        <v>0</v>
      </c>
      <c r="K260" s="50">
        <f ca="1">IF(I260&gt;0,J260*100/I260,0)</f>
        <v>0</v>
      </c>
      <c r="L260" s="46"/>
      <c r="M260" s="46"/>
      <c r="N260" s="46"/>
      <c r="O260" s="46"/>
      <c r="P260" s="46"/>
    </row>
    <row r="261" spans="1:16" ht="18.75" hidden="1" x14ac:dyDescent="0.25">
      <c r="A261" s="148"/>
      <c r="B261" s="149"/>
      <c r="C261" s="149"/>
      <c r="D261" s="269" t="s">
        <v>41</v>
      </c>
      <c r="E261" s="155"/>
      <c r="F261" s="155"/>
      <c r="G261" s="153"/>
      <c r="H261" s="153"/>
      <c r="I261" s="45"/>
      <c r="J261" s="45"/>
      <c r="K261" s="46"/>
      <c r="L261" s="46"/>
      <c r="M261" s="46"/>
      <c r="N261" s="46"/>
      <c r="O261" s="145"/>
      <c r="P261" s="145"/>
    </row>
    <row r="262" spans="1:16" ht="18.75" hidden="1" x14ac:dyDescent="0.25">
      <c r="A262" s="148"/>
      <c r="B262" s="149"/>
      <c r="C262" s="149"/>
      <c r="D262" s="149"/>
      <c r="E262" s="270" t="s">
        <v>104</v>
      </c>
      <c r="F262" s="155"/>
      <c r="G262" s="153"/>
      <c r="H262" s="268" t="s">
        <v>33</v>
      </c>
      <c r="I262" s="45"/>
      <c r="J262" s="201">
        <v>0</v>
      </c>
      <c r="K262" s="50">
        <f>IF(I262&gt;0,J262*100/I262,0)</f>
        <v>0</v>
      </c>
      <c r="L262" s="46"/>
      <c r="M262" s="46"/>
      <c r="N262" s="46"/>
      <c r="O262" s="46"/>
      <c r="P262" s="46"/>
    </row>
    <row r="263" spans="1:16" ht="18.75" hidden="1" x14ac:dyDescent="0.25">
      <c r="A263" s="148"/>
      <c r="B263" s="149"/>
      <c r="C263" s="149"/>
      <c r="D263" s="149"/>
      <c r="E263" s="270" t="s">
        <v>105</v>
      </c>
      <c r="F263" s="155"/>
      <c r="G263" s="153"/>
      <c r="H263" s="268" t="s">
        <v>54</v>
      </c>
      <c r="I263" s="45"/>
      <c r="J263" s="201">
        <v>0</v>
      </c>
      <c r="K263" s="50">
        <f>IF(I263&gt;0,J263*100/I263,0)</f>
        <v>0</v>
      </c>
      <c r="L263" s="46"/>
      <c r="M263" s="46"/>
      <c r="N263" s="46"/>
      <c r="O263" s="46"/>
      <c r="P263" s="46"/>
    </row>
    <row r="264" spans="1:16" ht="19.5" hidden="1" x14ac:dyDescent="0.3">
      <c r="A264" s="272" t="s">
        <v>108</v>
      </c>
      <c r="B264" s="215"/>
      <c r="C264" s="215"/>
      <c r="D264" s="216"/>
      <c r="E264" s="216"/>
      <c r="F264" s="216"/>
      <c r="G264" s="217"/>
      <c r="H264" s="217"/>
      <c r="I264" s="218"/>
      <c r="J264" s="218"/>
      <c r="K264" s="219"/>
      <c r="L264" s="219"/>
      <c r="M264" s="219"/>
      <c r="N264" s="219"/>
      <c r="O264" s="219"/>
      <c r="P264" s="219"/>
    </row>
    <row r="265" spans="1:16" ht="19.5" hidden="1" x14ac:dyDescent="0.3">
      <c r="A265" s="220"/>
      <c r="B265" s="273" t="s">
        <v>109</v>
      </c>
      <c r="C265" s="222"/>
      <c r="D265" s="151"/>
      <c r="E265" s="151"/>
      <c r="F265" s="151"/>
      <c r="G265" s="152"/>
      <c r="H265" s="274" t="s">
        <v>33</v>
      </c>
      <c r="I265" s="275">
        <f>I276</f>
        <v>0</v>
      </c>
      <c r="J265" s="275">
        <f>J276</f>
        <v>0</v>
      </c>
      <c r="K265" s="276">
        <f>IF(I265&gt;0,J265*100/I265,0)</f>
        <v>0</v>
      </c>
      <c r="L265" s="226"/>
      <c r="M265" s="226"/>
      <c r="N265" s="226"/>
      <c r="O265" s="226"/>
      <c r="P265" s="226"/>
    </row>
    <row r="266" spans="1:16" ht="19.5" hidden="1" x14ac:dyDescent="0.3">
      <c r="A266" s="136"/>
      <c r="B266" s="41"/>
      <c r="C266" s="260" t="s">
        <v>16</v>
      </c>
      <c r="D266" s="261" t="s">
        <v>17</v>
      </c>
      <c r="E266" s="41"/>
      <c r="F266" s="41"/>
      <c r="G266" s="43"/>
      <c r="H266" s="277" t="s">
        <v>12</v>
      </c>
      <c r="I266" s="45"/>
      <c r="J266" s="45"/>
      <c r="K266" s="46"/>
      <c r="L266" s="263">
        <f ca="1">L267+L268</f>
        <v>0</v>
      </c>
      <c r="M266" s="263">
        <f ca="1">M267+M268</f>
        <v>0</v>
      </c>
      <c r="N266" s="263">
        <f ca="1">N267+N268</f>
        <v>0</v>
      </c>
      <c r="O266" s="263">
        <f ca="1">IF(L266&gt;0,N266*100/L266,0)</f>
        <v>0</v>
      </c>
      <c r="P266" s="263">
        <f ca="1">IF(M266&gt;0,N266*100/M266,0)</f>
        <v>0</v>
      </c>
    </row>
    <row r="267" spans="1:16" ht="18.75" hidden="1" x14ac:dyDescent="0.25">
      <c r="A267" s="136"/>
      <c r="B267" s="41"/>
      <c r="C267" s="41"/>
      <c r="D267" s="41"/>
      <c r="E267" s="279" t="s">
        <v>18</v>
      </c>
      <c r="F267" s="41"/>
      <c r="G267" s="43"/>
      <c r="H267" s="141" t="s">
        <v>12</v>
      </c>
      <c r="I267" s="45"/>
      <c r="J267" s="45"/>
      <c r="K267" s="46"/>
      <c r="L267" s="50">
        <f>L270+L273</f>
        <v>0</v>
      </c>
      <c r="M267" s="50">
        <f>M270+M273</f>
        <v>0</v>
      </c>
      <c r="N267" s="50">
        <f>N270+N273</f>
        <v>0</v>
      </c>
      <c r="O267" s="50">
        <f>IF(L267&gt;0,N267*100/L267,0)</f>
        <v>0</v>
      </c>
      <c r="P267" s="50">
        <f>IF(M267&gt;0,N267*100/M267,0)</f>
        <v>0</v>
      </c>
    </row>
    <row r="268" spans="1:16" ht="18.75" hidden="1" x14ac:dyDescent="0.25">
      <c r="A268" s="136"/>
      <c r="B268" s="41"/>
      <c r="C268" s="41"/>
      <c r="D268" s="41"/>
      <c r="E268" s="279" t="s">
        <v>19</v>
      </c>
      <c r="F268" s="41"/>
      <c r="G268" s="43"/>
      <c r="H268" s="141" t="s">
        <v>12</v>
      </c>
      <c r="I268" s="45"/>
      <c r="J268" s="45"/>
      <c r="K268" s="46"/>
      <c r="L268" s="50">
        <f ca="1">L271+L274</f>
        <v>0</v>
      </c>
      <c r="M268" s="50">
        <f ca="1">M271+M274</f>
        <v>0</v>
      </c>
      <c r="N268" s="50">
        <f ca="1">N271+N274</f>
        <v>0</v>
      </c>
      <c r="O268" s="50">
        <f ca="1">IF(L268&gt;0,N268*100/L268,0)</f>
        <v>0</v>
      </c>
      <c r="P268" s="50">
        <f ca="1">IF(M268&gt;0,N268*100/M268,0)</f>
        <v>0</v>
      </c>
    </row>
    <row r="269" spans="1:16" ht="18.75" hidden="1" x14ac:dyDescent="0.25">
      <c r="A269" s="136"/>
      <c r="B269" s="41"/>
      <c r="C269" s="41"/>
      <c r="D269" s="278" t="s">
        <v>20</v>
      </c>
      <c r="E269" s="41"/>
      <c r="F269" s="41"/>
      <c r="G269" s="43"/>
      <c r="H269" s="146" t="s">
        <v>12</v>
      </c>
      <c r="I269" s="144"/>
      <c r="J269" s="144"/>
      <c r="K269" s="145"/>
      <c r="L269" s="50">
        <f ca="1">L270+L271</f>
        <v>0</v>
      </c>
      <c r="M269" s="50">
        <f ca="1">M270+M271</f>
        <v>0</v>
      </c>
      <c r="N269" s="50">
        <f ca="1">N270+N271</f>
        <v>0</v>
      </c>
      <c r="O269" s="50">
        <f ca="1">IF(L269&gt;0,N269*100/L269,0)</f>
        <v>0</v>
      </c>
      <c r="P269" s="50">
        <f ca="1">IF(M269&gt;0,N269*100/M269,0)</f>
        <v>0</v>
      </c>
    </row>
    <row r="270" spans="1:16" ht="18.75" hidden="1" x14ac:dyDescent="0.25">
      <c r="A270" s="136"/>
      <c r="B270" s="41"/>
      <c r="C270" s="41"/>
      <c r="D270" s="41"/>
      <c r="E270" s="279" t="s">
        <v>34</v>
      </c>
      <c r="F270" s="41"/>
      <c r="G270" s="43"/>
      <c r="H270" s="146" t="s">
        <v>12</v>
      </c>
      <c r="I270" s="144"/>
      <c r="J270" s="144"/>
      <c r="K270" s="145"/>
      <c r="L270" s="50">
        <v>0</v>
      </c>
      <c r="M270" s="50">
        <v>0</v>
      </c>
      <c r="N270" s="50">
        <v>0</v>
      </c>
      <c r="O270" s="50">
        <f>IF(L270&gt;0,N270*100/L270,0)</f>
        <v>0</v>
      </c>
      <c r="P270" s="50">
        <f>IF(M270&gt;0,N270*100/M270,0)</f>
        <v>0</v>
      </c>
    </row>
    <row r="271" spans="1:16" ht="18.75" hidden="1" x14ac:dyDescent="0.25">
      <c r="A271" s="136"/>
      <c r="B271" s="41"/>
      <c r="C271" s="41"/>
      <c r="D271" s="41"/>
      <c r="E271" s="279" t="s">
        <v>35</v>
      </c>
      <c r="F271" s="41"/>
      <c r="G271" s="43"/>
      <c r="H271" s="146" t="s">
        <v>12</v>
      </c>
      <c r="I271" s="144"/>
      <c r="J271" s="144"/>
      <c r="K271" s="145"/>
      <c r="L271" s="50">
        <f ca="1">IFERROR(__xludf.DUMMYFUNCTION("IMPORTRANGE(""https://docs.google.com/spreadsheets/d/1-uDff_7J0KD5mKrp0Vvzr7lt3OU09vwQwhkpOPPYv2Y/edit?usp=sharing"",""งบพรบ!DE21"")"),0)</f>
        <v>0</v>
      </c>
      <c r="M271" s="50">
        <f ca="1">IFERROR(__xludf.DUMMYFUNCTION("IMPORTRANGE(""https://docs.google.com/spreadsheets/d/1-uDff_7J0KD5mKrp0Vvzr7lt3OU09vwQwhkpOPPYv2Y/edit?usp=sharing"",""งบพรบ!DJ21"")"),0)</f>
        <v>0</v>
      </c>
      <c r="N271" s="50">
        <f ca="1">IFERROR(__xludf.DUMMYFUNCTION("IMPORTRANGE(""https://docs.google.com/spreadsheets/d/1-uDff_7J0KD5mKrp0Vvzr7lt3OU09vwQwhkpOPPYv2Y/edit?usp=sharing"",""งบพรบ!DL21"")"),0)</f>
        <v>0</v>
      </c>
      <c r="O271" s="50">
        <f ca="1">IF(L271&gt;0,N271*100/L271,0)</f>
        <v>0</v>
      </c>
      <c r="P271" s="50">
        <f ca="1">IF(M271&gt;0,N271*100/M271,0)</f>
        <v>0</v>
      </c>
    </row>
    <row r="272" spans="1:16" ht="18.75" hidden="1" x14ac:dyDescent="0.25">
      <c r="A272" s="136"/>
      <c r="B272" s="41"/>
      <c r="C272" s="41"/>
      <c r="D272" s="278" t="s">
        <v>21</v>
      </c>
      <c r="E272" s="41"/>
      <c r="F272" s="41"/>
      <c r="G272" s="43"/>
      <c r="H272" s="199" t="s">
        <v>12</v>
      </c>
      <c r="I272" s="144"/>
      <c r="J272" s="144"/>
      <c r="K272" s="145"/>
      <c r="L272" s="50">
        <f ca="1">L273+L274</f>
        <v>0</v>
      </c>
      <c r="M272" s="50">
        <f ca="1">M273+M274</f>
        <v>0</v>
      </c>
      <c r="N272" s="50">
        <f ca="1">N273+N274</f>
        <v>0</v>
      </c>
      <c r="O272" s="50">
        <f ca="1">IF(L272&gt;0,N272*100/L272,0)</f>
        <v>0</v>
      </c>
      <c r="P272" s="50">
        <f ca="1">IF(M272&gt;0,N272*100/M272,0)</f>
        <v>0</v>
      </c>
    </row>
    <row r="273" spans="1:16" ht="18.75" hidden="1" x14ac:dyDescent="0.25">
      <c r="A273" s="136"/>
      <c r="B273" s="41"/>
      <c r="C273" s="41"/>
      <c r="D273" s="41"/>
      <c r="E273" s="279" t="s">
        <v>18</v>
      </c>
      <c r="F273" s="41"/>
      <c r="G273" s="43"/>
      <c r="H273" s="146" t="s">
        <v>12</v>
      </c>
      <c r="I273" s="144"/>
      <c r="J273" s="144"/>
      <c r="K273" s="145"/>
      <c r="L273" s="50">
        <v>0</v>
      </c>
      <c r="M273" s="50">
        <v>0</v>
      </c>
      <c r="N273" s="50">
        <v>0</v>
      </c>
      <c r="O273" s="50">
        <f>IF(L273&gt;0,N273*100/L273,0)</f>
        <v>0</v>
      </c>
      <c r="P273" s="50">
        <f>IF(M273&gt;0,N273*100/M273,0)</f>
        <v>0</v>
      </c>
    </row>
    <row r="274" spans="1:16" ht="18.75" hidden="1" x14ac:dyDescent="0.25">
      <c r="A274" s="136"/>
      <c r="B274" s="41"/>
      <c r="C274" s="41"/>
      <c r="D274" s="41"/>
      <c r="E274" s="279" t="s">
        <v>19</v>
      </c>
      <c r="F274" s="41"/>
      <c r="G274" s="43"/>
      <c r="H274" s="199" t="s">
        <v>12</v>
      </c>
      <c r="I274" s="144"/>
      <c r="J274" s="144"/>
      <c r="K274" s="145"/>
      <c r="L274" s="50">
        <f ca="1">IFERROR(__xludf.DUMMYFUNCTION("IMPORTRANGE(""https://docs.google.com/spreadsheets/d/1-uDff_7J0KD5mKrp0Vvzr7lt3OU09vwQwhkpOPPYv2Y/edit?usp=sharing"",""งบพรบ!DH21"")"),0)</f>
        <v>0</v>
      </c>
      <c r="M274" s="50">
        <f ca="1">IFERROR(__xludf.DUMMYFUNCTION("IMPORTRANGE(""https://docs.google.com/spreadsheets/d/1-uDff_7J0KD5mKrp0Vvzr7lt3OU09vwQwhkpOPPYv2Y/edit?usp=sharing"",""งบพรบ!DK21"")"),0)</f>
        <v>0</v>
      </c>
      <c r="N274" s="50">
        <f ca="1">IFERROR(__xludf.DUMMYFUNCTION("IMPORTRANGE(""https://docs.google.com/spreadsheets/d/1-uDff_7J0KD5mKrp0Vvzr7lt3OU09vwQwhkpOPPYv2Y/edit?usp=sharing"",""งบพรบ!DM21"")"),0)</f>
        <v>0</v>
      </c>
      <c r="O274" s="50">
        <f ca="1">IF(L274&gt;0,N274*100/L274,0)</f>
        <v>0</v>
      </c>
      <c r="P274" s="50">
        <f ca="1">IF(M274&gt;0,N274*100/M274,0)</f>
        <v>0</v>
      </c>
    </row>
    <row r="275" spans="1:16" ht="19.5" hidden="1" x14ac:dyDescent="0.3">
      <c r="A275" s="148"/>
      <c r="B275" s="149"/>
      <c r="C275" s="279" t="s">
        <v>16</v>
      </c>
      <c r="D275" s="394" t="s">
        <v>36</v>
      </c>
      <c r="E275" s="151"/>
      <c r="F275" s="151"/>
      <c r="G275" s="152"/>
      <c r="H275" s="153"/>
      <c r="I275" s="144"/>
      <c r="J275" s="144"/>
      <c r="K275" s="145"/>
      <c r="L275" s="145"/>
      <c r="M275" s="145"/>
      <c r="N275" s="145"/>
      <c r="O275" s="145"/>
      <c r="P275" s="145"/>
    </row>
    <row r="276" spans="1:16" ht="12.75" hidden="1" x14ac:dyDescent="0.2">
      <c r="A276" s="165"/>
      <c r="B276" s="166"/>
      <c r="C276" s="166"/>
      <c r="D276" s="16"/>
      <c r="E276" s="16"/>
      <c r="F276" s="16"/>
      <c r="G276" s="17"/>
      <c r="H276" s="17"/>
      <c r="I276" s="18"/>
      <c r="J276" s="18"/>
      <c r="K276" s="19"/>
      <c r="L276" s="19"/>
      <c r="M276" s="19"/>
      <c r="N276" s="19"/>
      <c r="O276" s="19"/>
      <c r="P276" s="19"/>
    </row>
    <row r="277" spans="1:16" ht="18.75" hidden="1" x14ac:dyDescent="0.25">
      <c r="A277" s="280"/>
      <c r="B277" s="281"/>
      <c r="C277" s="281"/>
      <c r="D277" s="282" t="s">
        <v>110</v>
      </c>
      <c r="E277" s="283"/>
      <c r="F277" s="283"/>
      <c r="G277" s="284"/>
      <c r="H277" s="285" t="s">
        <v>33</v>
      </c>
      <c r="I277" s="205">
        <v>0</v>
      </c>
      <c r="J277" s="205">
        <v>0</v>
      </c>
      <c r="K277" s="286">
        <v>0</v>
      </c>
      <c r="L277" s="287"/>
      <c r="M277" s="287"/>
      <c r="N277" s="287"/>
      <c r="O277" s="287"/>
      <c r="P277" s="287"/>
    </row>
    <row r="278" spans="1:16" ht="19.5" hidden="1" x14ac:dyDescent="0.3">
      <c r="A278" s="288" t="s">
        <v>111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</row>
    <row r="279" spans="1:16" ht="19.5" x14ac:dyDescent="0.3">
      <c r="A279" s="294" t="s">
        <v>112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299"/>
      <c r="M279" s="299"/>
      <c r="N279" s="299"/>
      <c r="O279" s="299"/>
      <c r="P279" s="299"/>
    </row>
    <row r="280" spans="1:16" ht="19.5" x14ac:dyDescent="0.3">
      <c r="A280" s="300"/>
      <c r="B280" s="301" t="s">
        <v>113</v>
      </c>
      <c r="C280" s="302"/>
      <c r="D280" s="303"/>
      <c r="E280" s="302"/>
      <c r="F280" s="302"/>
      <c r="G280" s="304"/>
      <c r="H280" s="305" t="s">
        <v>33</v>
      </c>
      <c r="I280" s="306">
        <f ca="1">I293</f>
        <v>10</v>
      </c>
      <c r="J280" s="306">
        <f>J293</f>
        <v>0</v>
      </c>
      <c r="K280" s="307">
        <f ca="1">IF(I280&gt;0,J280*100/I280,0)</f>
        <v>0</v>
      </c>
      <c r="L280" s="308"/>
      <c r="M280" s="308"/>
      <c r="N280" s="308"/>
      <c r="O280" s="308"/>
      <c r="P280" s="308"/>
    </row>
    <row r="281" spans="1:16" ht="19.5" x14ac:dyDescent="0.3">
      <c r="A281" s="300"/>
      <c r="B281" s="302"/>
      <c r="C281" s="302"/>
      <c r="D281" s="303"/>
      <c r="E281" s="302"/>
      <c r="F281" s="302"/>
      <c r="G281" s="304"/>
      <c r="H281" s="305" t="s">
        <v>44</v>
      </c>
      <c r="I281" s="306">
        <f ca="1">I292</f>
        <v>100</v>
      </c>
      <c r="J281" s="306">
        <f>J292</f>
        <v>0</v>
      </c>
      <c r="K281" s="307">
        <f ca="1">IF(I281&gt;0,J281*100/I281,0)</f>
        <v>0</v>
      </c>
      <c r="L281" s="308"/>
      <c r="M281" s="308"/>
      <c r="N281" s="308"/>
      <c r="O281" s="308"/>
      <c r="P281" s="308"/>
    </row>
    <row r="282" spans="1:16" ht="19.5" x14ac:dyDescent="0.3">
      <c r="A282" s="136"/>
      <c r="B282" s="41"/>
      <c r="C282" s="197" t="s">
        <v>16</v>
      </c>
      <c r="D282" s="397" t="s">
        <v>17</v>
      </c>
      <c r="E282" s="41"/>
      <c r="F282" s="41"/>
      <c r="G282" s="43"/>
      <c r="H282" s="139" t="s">
        <v>12</v>
      </c>
      <c r="I282" s="45"/>
      <c r="J282" s="45"/>
      <c r="K282" s="46"/>
      <c r="L282" s="140">
        <f ca="1">L283+L284</f>
        <v>132320</v>
      </c>
      <c r="M282" s="140">
        <f ca="1">M283+M284</f>
        <v>98980</v>
      </c>
      <c r="N282" s="140">
        <f ca="1">N283+N284</f>
        <v>26876</v>
      </c>
      <c r="O282" s="140">
        <f ca="1">IF(L282&gt;0,N282*100/L282,0)</f>
        <v>20.311366384522369</v>
      </c>
      <c r="P282" s="140">
        <f ca="1">IF(M282&gt;0,N282*100/M282,0)</f>
        <v>27.152960193978583</v>
      </c>
    </row>
    <row r="283" spans="1:16" ht="18.75" hidden="1" x14ac:dyDescent="0.25">
      <c r="A283" s="136"/>
      <c r="B283" s="41"/>
      <c r="C283" s="41"/>
      <c r="D283" s="41"/>
      <c r="E283" s="279" t="s">
        <v>18</v>
      </c>
      <c r="F283" s="41"/>
      <c r="G283" s="43"/>
      <c r="H283" s="141" t="s">
        <v>12</v>
      </c>
      <c r="I283" s="45"/>
      <c r="J283" s="45"/>
      <c r="K283" s="46"/>
      <c r="L283" s="50">
        <f>L286+L289</f>
        <v>0</v>
      </c>
      <c r="M283" s="50">
        <f>M286+M289</f>
        <v>0</v>
      </c>
      <c r="N283" s="50">
        <f>N286+N289</f>
        <v>0</v>
      </c>
      <c r="O283" s="50">
        <f>IF(L283&gt;0,N283*100/L283,0)</f>
        <v>0</v>
      </c>
      <c r="P283" s="50">
        <f>IF(M283&gt;0,N283*100/M283,0)</f>
        <v>0</v>
      </c>
    </row>
    <row r="284" spans="1:16" ht="18.75" x14ac:dyDescent="0.25">
      <c r="A284" s="136"/>
      <c r="B284" s="41"/>
      <c r="C284" s="41"/>
      <c r="D284" s="41"/>
      <c r="E284" s="254" t="s">
        <v>19</v>
      </c>
      <c r="F284" s="41"/>
      <c r="G284" s="43"/>
      <c r="H284" s="142" t="s">
        <v>12</v>
      </c>
      <c r="I284" s="45"/>
      <c r="J284" s="45"/>
      <c r="K284" s="46"/>
      <c r="L284" s="47">
        <f ca="1">L287+L290</f>
        <v>132320</v>
      </c>
      <c r="M284" s="47">
        <f ca="1">M287+M290</f>
        <v>98980</v>
      </c>
      <c r="N284" s="47">
        <f ca="1">N287+N290</f>
        <v>26876</v>
      </c>
      <c r="O284" s="47">
        <f ca="1">IF(L284&gt;0,N284*100/L284,0)</f>
        <v>20.311366384522369</v>
      </c>
      <c r="P284" s="47">
        <f ca="1">IF(M284&gt;0,N284*100/M284,0)</f>
        <v>27.152960193978583</v>
      </c>
    </row>
    <row r="285" spans="1:16" ht="18.75" x14ac:dyDescent="0.25">
      <c r="A285" s="136"/>
      <c r="B285" s="41"/>
      <c r="C285" s="41"/>
      <c r="D285" s="42" t="s">
        <v>20</v>
      </c>
      <c r="E285" s="41"/>
      <c r="F285" s="41"/>
      <c r="G285" s="43"/>
      <c r="H285" s="143" t="s">
        <v>12</v>
      </c>
      <c r="I285" s="144"/>
      <c r="J285" s="144"/>
      <c r="K285" s="145"/>
      <c r="L285" s="47">
        <f ca="1">L286+L287</f>
        <v>132320</v>
      </c>
      <c r="M285" s="47">
        <f ca="1">M286+M287</f>
        <v>98980</v>
      </c>
      <c r="N285" s="47">
        <f ca="1">N286+N287</f>
        <v>26876</v>
      </c>
      <c r="O285" s="47">
        <f ca="1">IF(L285&gt;0,N285*100/L285,0)</f>
        <v>20.311366384522369</v>
      </c>
      <c r="P285" s="47">
        <f ca="1">IF(M285&gt;0,N285*100/M285,0)</f>
        <v>27.152960193978583</v>
      </c>
    </row>
    <row r="286" spans="1:16" ht="18.75" hidden="1" x14ac:dyDescent="0.25">
      <c r="A286" s="136"/>
      <c r="B286" s="41"/>
      <c r="C286" s="41"/>
      <c r="D286" s="41"/>
      <c r="E286" s="279" t="s">
        <v>34</v>
      </c>
      <c r="F286" s="41"/>
      <c r="G286" s="43"/>
      <c r="H286" s="146" t="s">
        <v>12</v>
      </c>
      <c r="I286" s="144"/>
      <c r="J286" s="144"/>
      <c r="K286" s="145"/>
      <c r="L286" s="50">
        <v>0</v>
      </c>
      <c r="M286" s="50">
        <v>0</v>
      </c>
      <c r="N286" s="50">
        <v>0</v>
      </c>
      <c r="O286" s="50">
        <f>IF(L286&gt;0,N286*100/L286,0)</f>
        <v>0</v>
      </c>
      <c r="P286" s="50">
        <f>IF(M286&gt;0,N286*100/M286,0)</f>
        <v>0</v>
      </c>
    </row>
    <row r="287" spans="1:16" ht="18.75" x14ac:dyDescent="0.25">
      <c r="A287" s="136"/>
      <c r="B287" s="41"/>
      <c r="C287" s="41"/>
      <c r="D287" s="41"/>
      <c r="E287" s="254" t="s">
        <v>35</v>
      </c>
      <c r="F287" s="41"/>
      <c r="G287" s="43"/>
      <c r="H287" s="143" t="s">
        <v>12</v>
      </c>
      <c r="I287" s="144"/>
      <c r="J287" s="144"/>
      <c r="K287" s="145"/>
      <c r="L287" s="47">
        <f ca="1">IFERROR(__xludf.DUMMYFUNCTION("IMPORTRANGE(""https://docs.google.com/spreadsheets/d/1-uDff_7J0KD5mKrp0Vvzr7lt3OU09vwQwhkpOPPYv2Y/edit?usp=sharing"",""งบพรบ!DO21"")"),132320)</f>
        <v>132320</v>
      </c>
      <c r="M287" s="47">
        <f ca="1">IFERROR(__xludf.DUMMYFUNCTION("IMPORTRANGE(""https://docs.google.com/spreadsheets/d/1-uDff_7J0KD5mKrp0Vvzr7lt3OU09vwQwhkpOPPYv2Y/edit?usp=sharing"",""งบพรบ!DT21"")"),98980)</f>
        <v>98980</v>
      </c>
      <c r="N287" s="47">
        <f ca="1">IFERROR(__xludf.DUMMYFUNCTION("IMPORTRANGE(""https://docs.google.com/spreadsheets/d/1-uDff_7J0KD5mKrp0Vvzr7lt3OU09vwQwhkpOPPYv2Y/edit?usp=sharing"",""งบพรบ!DV21"")"),26876)</f>
        <v>26876</v>
      </c>
      <c r="O287" s="47">
        <f ca="1">IF(L287&gt;0,N287*100/L287,0)</f>
        <v>20.311366384522369</v>
      </c>
      <c r="P287" s="47">
        <f ca="1">IF(M287&gt;0,N287*100/M287,0)</f>
        <v>27.152960193978583</v>
      </c>
    </row>
    <row r="288" spans="1:16" ht="18.75" x14ac:dyDescent="0.25">
      <c r="A288" s="136"/>
      <c r="B288" s="41"/>
      <c r="C288" s="41"/>
      <c r="D288" s="42" t="s">
        <v>21</v>
      </c>
      <c r="E288" s="41"/>
      <c r="F288" s="41"/>
      <c r="G288" s="43"/>
      <c r="H288" s="147" t="s">
        <v>12</v>
      </c>
      <c r="I288" s="144"/>
      <c r="J288" s="144"/>
      <c r="K288" s="145"/>
      <c r="L288" s="47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</row>
    <row r="289" spans="1:16" ht="18.75" hidden="1" x14ac:dyDescent="0.25">
      <c r="A289" s="136"/>
      <c r="B289" s="41"/>
      <c r="C289" s="41"/>
      <c r="D289" s="41"/>
      <c r="E289" s="279" t="s">
        <v>18</v>
      </c>
      <c r="F289" s="41"/>
      <c r="G289" s="43"/>
      <c r="H289" s="146" t="s">
        <v>12</v>
      </c>
      <c r="I289" s="144"/>
      <c r="J289" s="144"/>
      <c r="K289" s="145"/>
      <c r="L289" s="50">
        <v>0</v>
      </c>
      <c r="M289" s="50">
        <v>0</v>
      </c>
      <c r="N289" s="50">
        <v>0</v>
      </c>
      <c r="O289" s="50">
        <f>IF(L289&gt;0,N289*100/L289,0)</f>
        <v>0</v>
      </c>
      <c r="P289" s="50">
        <f>IF(M289&gt;0,N289*100/M289,0)</f>
        <v>0</v>
      </c>
    </row>
    <row r="290" spans="1:16" ht="18.75" x14ac:dyDescent="0.25">
      <c r="A290" s="136"/>
      <c r="B290" s="41"/>
      <c r="C290" s="41"/>
      <c r="D290" s="41"/>
      <c r="E290" s="254" t="s">
        <v>19</v>
      </c>
      <c r="F290" s="41"/>
      <c r="G290" s="43"/>
      <c r="H290" s="147" t="s">
        <v>12</v>
      </c>
      <c r="I290" s="144"/>
      <c r="J290" s="144"/>
      <c r="K290" s="145"/>
      <c r="L290" s="47">
        <f ca="1">IFERROR(__xludf.DUMMYFUNCTION("IMPORTRANGE(""https://docs.google.com/spreadsheets/d/1-uDff_7J0KD5mKrp0Vvzr7lt3OU09vwQwhkpOPPYv2Y/edit?usp=sharing"",""งบพรบ!DR21"")"),0)</f>
        <v>0</v>
      </c>
      <c r="M290" s="47">
        <f ca="1">IFERROR(__xludf.DUMMYFUNCTION("IMPORTRANGE(""https://docs.google.com/spreadsheets/d/1-uDff_7J0KD5mKrp0Vvzr7lt3OU09vwQwhkpOPPYv2Y/edit?usp=sharing"",""งบพรบ!DU21"")"),0)</f>
        <v>0</v>
      </c>
      <c r="N290" s="47">
        <f ca="1">IFERROR(__xludf.DUMMYFUNCTION("IMPORTRANGE(""https://docs.google.com/spreadsheets/d/1-uDff_7J0KD5mKrp0Vvzr7lt3OU09vwQwhkpOPPYv2Y/edit?usp=sharing"",""งบพรบ!DW21"")"),0)</f>
        <v>0</v>
      </c>
      <c r="O290" s="47">
        <f ca="1">IF(L290&gt;0,N290*100/L290,0)</f>
        <v>0</v>
      </c>
      <c r="P290" s="47">
        <f ca="1">IF(M290&gt;0,N290*100/M290,0)</f>
        <v>0</v>
      </c>
    </row>
    <row r="291" spans="1:16" ht="19.5" x14ac:dyDescent="0.3">
      <c r="A291" s="148"/>
      <c r="B291" s="149"/>
      <c r="C291" s="197" t="s">
        <v>16</v>
      </c>
      <c r="D291" s="395" t="s">
        <v>36</v>
      </c>
      <c r="E291" s="151"/>
      <c r="F291" s="151"/>
      <c r="G291" s="152"/>
      <c r="H291" s="153"/>
      <c r="I291" s="144"/>
      <c r="J291" s="144"/>
      <c r="K291" s="145"/>
      <c r="L291" s="145"/>
      <c r="M291" s="145"/>
      <c r="N291" s="145"/>
      <c r="O291" s="145"/>
      <c r="P291" s="145"/>
    </row>
    <row r="292" spans="1:16" ht="18.75" x14ac:dyDescent="0.25">
      <c r="A292" s="148"/>
      <c r="B292" s="149"/>
      <c r="C292" s="149"/>
      <c r="D292" s="159" t="s">
        <v>114</v>
      </c>
      <c r="E292" s="149"/>
      <c r="F292" s="155"/>
      <c r="G292" s="153"/>
      <c r="H292" s="164" t="s">
        <v>44</v>
      </c>
      <c r="I292" s="169">
        <f ca="1">IFERROR(__xludf.DUMMYFUNCTION("IMPORTRANGE(""https://docs.google.com/spreadsheets/d/1eHaY18a8A9IcSdp1K8H6x8fbOy06t2VsZHhMHf-1x7Y/edit?usp=sharing"",""แผน!EE21"")"),100)</f>
        <v>100</v>
      </c>
      <c r="J292" s="250">
        <v>0</v>
      </c>
      <c r="K292" s="163">
        <f ca="1">IF(I292&gt;0,J292*100/I292,0)</f>
        <v>0</v>
      </c>
      <c r="L292" s="145"/>
      <c r="M292" s="145"/>
      <c r="N292" s="145"/>
      <c r="O292" s="145"/>
      <c r="P292" s="145"/>
    </row>
    <row r="293" spans="1:16" ht="19.5" x14ac:dyDescent="0.3">
      <c r="A293" s="148"/>
      <c r="B293" s="149"/>
      <c r="C293" s="149"/>
      <c r="D293" s="159" t="s">
        <v>115</v>
      </c>
      <c r="E293" s="149"/>
      <c r="F293" s="155"/>
      <c r="G293" s="153"/>
      <c r="H293" s="156" t="s">
        <v>33</v>
      </c>
      <c r="I293" s="157">
        <f ca="1">IFERROR(__xludf.DUMMYFUNCTION("IMPORTRANGE(""https://docs.google.com/spreadsheets/d/1eHaY18a8A9IcSdp1K8H6x8fbOy06t2VsZHhMHf-1x7Y/edit?usp=sharing"",""แผน!ED21"")"),10)</f>
        <v>10</v>
      </c>
      <c r="J293" s="157">
        <f>J296</f>
        <v>0</v>
      </c>
      <c r="K293" s="158">
        <f ca="1">IF(I293&gt;0,J293*100/I293,0)</f>
        <v>0</v>
      </c>
      <c r="L293" s="145"/>
      <c r="M293" s="145"/>
      <c r="N293" s="145"/>
      <c r="O293" s="145"/>
      <c r="P293" s="145"/>
    </row>
    <row r="294" spans="1:16" ht="19.5" x14ac:dyDescent="0.3">
      <c r="A294" s="148"/>
      <c r="B294" s="149"/>
      <c r="C294" s="149"/>
      <c r="D294" s="155"/>
      <c r="E294" s="167" t="s">
        <v>116</v>
      </c>
      <c r="F294" s="155"/>
      <c r="G294" s="153"/>
      <c r="H294" s="153"/>
      <c r="I294" s="144"/>
      <c r="J294" s="45"/>
      <c r="K294" s="145"/>
      <c r="L294" s="145"/>
      <c r="M294" s="145"/>
      <c r="N294" s="145"/>
      <c r="O294" s="145"/>
      <c r="P294" s="145"/>
    </row>
    <row r="295" spans="1:16" ht="19.5" x14ac:dyDescent="0.3">
      <c r="A295" s="148"/>
      <c r="B295" s="149"/>
      <c r="C295" s="149"/>
      <c r="D295" s="155"/>
      <c r="E295" s="159" t="s">
        <v>117</v>
      </c>
      <c r="F295" s="155"/>
      <c r="G295" s="153"/>
      <c r="H295" s="251" t="s">
        <v>33</v>
      </c>
      <c r="I295" s="161">
        <f ca="1">IFERROR(__xludf.DUMMYFUNCTION("IMPORTRANGE(""https://docs.google.com/spreadsheets/d/1eHaY18a8A9IcSdp1K8H6x8fbOy06t2VsZHhMHf-1x7Y/edit?usp=sharing"",""แผน!ED21"")"),10)</f>
        <v>10</v>
      </c>
      <c r="J295" s="250">
        <v>0</v>
      </c>
      <c r="K295" s="163">
        <f ca="1">IF(I295&gt;0,J295*100/I295,0)</f>
        <v>0</v>
      </c>
      <c r="L295" s="145"/>
      <c r="M295" s="145"/>
      <c r="N295" s="145"/>
      <c r="O295" s="145"/>
      <c r="P295" s="145"/>
    </row>
    <row r="296" spans="1:16" ht="19.5" x14ac:dyDescent="0.3">
      <c r="A296" s="148"/>
      <c r="B296" s="149"/>
      <c r="C296" s="149"/>
      <c r="D296" s="155"/>
      <c r="E296" s="159" t="s">
        <v>118</v>
      </c>
      <c r="F296" s="155"/>
      <c r="G296" s="153"/>
      <c r="H296" s="251" t="s">
        <v>33</v>
      </c>
      <c r="I296" s="161">
        <f ca="1">IFERROR(__xludf.DUMMYFUNCTION("IMPORTRANGE(""https://docs.google.com/spreadsheets/d/1eHaY18a8A9IcSdp1K8H6x8fbOy06t2VsZHhMHf-1x7Y/edit?usp=sharing"",""แผน!ED21"")"),10)</f>
        <v>10</v>
      </c>
      <c r="J296" s="250">
        <v>0</v>
      </c>
      <c r="K296" s="163">
        <f ca="1">IF(I296&gt;0,J296*100/I296,0)</f>
        <v>0</v>
      </c>
      <c r="L296" s="145"/>
      <c r="M296" s="145"/>
      <c r="N296" s="145"/>
      <c r="O296" s="145"/>
      <c r="P296" s="145"/>
    </row>
    <row r="297" spans="1:16" ht="12.75" hidden="1" x14ac:dyDescent="0.2">
      <c r="A297" s="165"/>
      <c r="B297" s="166"/>
      <c r="C297" s="166"/>
      <c r="D297" s="16"/>
      <c r="E297" s="16"/>
      <c r="F297" s="16"/>
      <c r="G297" s="17"/>
      <c r="H297" s="17"/>
      <c r="I297" s="18"/>
      <c r="J297" s="18"/>
      <c r="K297" s="19"/>
      <c r="L297" s="19"/>
      <c r="M297" s="19"/>
      <c r="N297" s="19"/>
      <c r="O297" s="19"/>
      <c r="P297" s="19"/>
    </row>
    <row r="298" spans="1:16" ht="12.75" hidden="1" x14ac:dyDescent="0.2">
      <c r="A298" s="165"/>
      <c r="B298" s="166"/>
      <c r="C298" s="166"/>
      <c r="D298" s="16"/>
      <c r="E298" s="16"/>
      <c r="F298" s="16"/>
      <c r="G298" s="17"/>
      <c r="H298" s="17"/>
      <c r="I298" s="18"/>
      <c r="J298" s="18"/>
      <c r="K298" s="19"/>
      <c r="L298" s="19"/>
      <c r="M298" s="19"/>
      <c r="N298" s="19"/>
      <c r="O298" s="19"/>
      <c r="P298" s="19"/>
    </row>
    <row r="299" spans="1:16" ht="12.75" hidden="1" x14ac:dyDescent="0.2">
      <c r="A299" s="309"/>
      <c r="B299" s="310"/>
      <c r="C299" s="310"/>
      <c r="D299" s="21"/>
      <c r="E299" s="21"/>
      <c r="F299" s="21"/>
      <c r="G299" s="12"/>
      <c r="H299" s="12"/>
      <c r="I299" s="13"/>
      <c r="J299" s="13"/>
      <c r="K299" s="14"/>
      <c r="L299" s="14"/>
      <c r="M299" s="14"/>
      <c r="N299" s="14"/>
      <c r="O299" s="14"/>
      <c r="P299" s="14"/>
    </row>
    <row r="300" spans="1:16" ht="19.5" hidden="1" x14ac:dyDescent="0.3">
      <c r="A300" s="311" t="s">
        <v>119</v>
      </c>
      <c r="B300" s="312"/>
      <c r="C300" s="312"/>
      <c r="D300" s="312"/>
      <c r="E300" s="313"/>
      <c r="F300" s="313"/>
      <c r="G300" s="313"/>
      <c r="H300" s="313"/>
      <c r="I300" s="314"/>
      <c r="J300" s="314"/>
      <c r="K300" s="315"/>
      <c r="L300" s="315"/>
      <c r="M300" s="315"/>
      <c r="N300" s="315"/>
      <c r="O300" s="315"/>
      <c r="P300" s="316"/>
    </row>
    <row r="301" spans="1:16" ht="19.5" hidden="1" x14ac:dyDescent="0.3">
      <c r="A301" s="317" t="s">
        <v>120</v>
      </c>
      <c r="B301" s="318"/>
      <c r="C301" s="318"/>
      <c r="D301" s="319"/>
      <c r="E301" s="319"/>
      <c r="F301" s="319"/>
      <c r="G301" s="320"/>
      <c r="H301" s="320"/>
      <c r="I301" s="321"/>
      <c r="J301" s="321"/>
      <c r="K301" s="322"/>
      <c r="L301" s="322"/>
      <c r="M301" s="322"/>
      <c r="N301" s="322"/>
      <c r="O301" s="322"/>
      <c r="P301" s="322"/>
    </row>
    <row r="302" spans="1:16" ht="19.5" hidden="1" x14ac:dyDescent="0.3">
      <c r="A302" s="323"/>
      <c r="B302" s="324" t="s">
        <v>121</v>
      </c>
      <c r="C302" s="325"/>
      <c r="D302" s="325"/>
      <c r="E302" s="325"/>
      <c r="F302" s="325"/>
      <c r="G302" s="326"/>
      <c r="H302" s="327" t="s">
        <v>33</v>
      </c>
      <c r="I302" s="328">
        <f ca="1">I314</f>
        <v>0</v>
      </c>
      <c r="J302" s="328">
        <f>J314</f>
        <v>0</v>
      </c>
      <c r="K302" s="329">
        <f ca="1">IF(I302&gt;0,J302*100/I302,0)</f>
        <v>0</v>
      </c>
      <c r="L302" s="330"/>
      <c r="M302" s="330"/>
      <c r="N302" s="330"/>
      <c r="O302" s="330"/>
      <c r="P302" s="330"/>
    </row>
    <row r="303" spans="1:16" ht="19.5" hidden="1" x14ac:dyDescent="0.3">
      <c r="A303" s="136"/>
      <c r="B303" s="41"/>
      <c r="C303" s="197" t="s">
        <v>16</v>
      </c>
      <c r="D303" s="397" t="s">
        <v>17</v>
      </c>
      <c r="E303" s="41"/>
      <c r="F303" s="41"/>
      <c r="G303" s="43"/>
      <c r="H303" s="139" t="s">
        <v>12</v>
      </c>
      <c r="I303" s="45"/>
      <c r="J303" s="45"/>
      <c r="K303" s="46"/>
      <c r="L303" s="140">
        <f ca="1">L304+L305</f>
        <v>0</v>
      </c>
      <c r="M303" s="140">
        <f ca="1">M304+M305</f>
        <v>0</v>
      </c>
      <c r="N303" s="140">
        <f ca="1">N304+N305</f>
        <v>0</v>
      </c>
      <c r="O303" s="140">
        <f ca="1">IF(L303&gt;0,N303*100/L303,0)</f>
        <v>0</v>
      </c>
      <c r="P303" s="140">
        <f ca="1">IF(M303&gt;0,N303*100/M303,0)</f>
        <v>0</v>
      </c>
    </row>
    <row r="304" spans="1:16" ht="18.75" hidden="1" x14ac:dyDescent="0.25">
      <c r="A304" s="136"/>
      <c r="B304" s="41"/>
      <c r="C304" s="41"/>
      <c r="D304" s="41"/>
      <c r="E304" s="279" t="s">
        <v>18</v>
      </c>
      <c r="F304" s="41"/>
      <c r="G304" s="43"/>
      <c r="H304" s="141" t="s">
        <v>12</v>
      </c>
      <c r="I304" s="45"/>
      <c r="J304" s="45"/>
      <c r="K304" s="46"/>
      <c r="L304" s="50">
        <f>L307+L310</f>
        <v>0</v>
      </c>
      <c r="M304" s="50">
        <f>M307+M310</f>
        <v>0</v>
      </c>
      <c r="N304" s="50">
        <f>N307+N310</f>
        <v>0</v>
      </c>
      <c r="O304" s="50">
        <f>IF(L304&gt;0,N304*100/L304,0)</f>
        <v>0</v>
      </c>
      <c r="P304" s="50">
        <f>IF(M304&gt;0,N304*100/M304,0)</f>
        <v>0</v>
      </c>
    </row>
    <row r="305" spans="1:16" ht="18.75" hidden="1" x14ac:dyDescent="0.25">
      <c r="A305" s="136"/>
      <c r="B305" s="41"/>
      <c r="C305" s="41"/>
      <c r="D305" s="41"/>
      <c r="E305" s="254" t="s">
        <v>19</v>
      </c>
      <c r="F305" s="41"/>
      <c r="G305" s="43"/>
      <c r="H305" s="142" t="s">
        <v>12</v>
      </c>
      <c r="I305" s="45"/>
      <c r="J305" s="45"/>
      <c r="K305" s="46"/>
      <c r="L305" s="47">
        <f ca="1">L308+L311</f>
        <v>0</v>
      </c>
      <c r="M305" s="47">
        <f ca="1">M308+M311</f>
        <v>0</v>
      </c>
      <c r="N305" s="47">
        <f ca="1">N308+N311</f>
        <v>0</v>
      </c>
      <c r="O305" s="47">
        <f ca="1">IF(L305&gt;0,N305*100/L305,0)</f>
        <v>0</v>
      </c>
      <c r="P305" s="47">
        <f ca="1">IF(M305&gt;0,N305*100/M305,0)</f>
        <v>0</v>
      </c>
    </row>
    <row r="306" spans="1:16" ht="18.75" hidden="1" x14ac:dyDescent="0.25">
      <c r="A306" s="136"/>
      <c r="B306" s="41"/>
      <c r="C306" s="41"/>
      <c r="D306" s="42" t="s">
        <v>20</v>
      </c>
      <c r="E306" s="41"/>
      <c r="F306" s="41"/>
      <c r="G306" s="43"/>
      <c r="H306" s="143" t="s">
        <v>12</v>
      </c>
      <c r="I306" s="144"/>
      <c r="J306" s="144"/>
      <c r="K306" s="145"/>
      <c r="L306" s="47">
        <f ca="1">L307+L308</f>
        <v>0</v>
      </c>
      <c r="M306" s="47">
        <f ca="1">M307+M308</f>
        <v>0</v>
      </c>
      <c r="N306" s="47">
        <f ca="1">N307+N308</f>
        <v>0</v>
      </c>
      <c r="O306" s="47">
        <f ca="1">IF(L306&gt;0,N306*100/L306,0)</f>
        <v>0</v>
      </c>
      <c r="P306" s="47">
        <f ca="1">IF(M306&gt;0,N306*100/M306,0)</f>
        <v>0</v>
      </c>
    </row>
    <row r="307" spans="1:16" ht="18.75" hidden="1" x14ac:dyDescent="0.25">
      <c r="A307" s="136"/>
      <c r="B307" s="41"/>
      <c r="C307" s="41"/>
      <c r="D307" s="41"/>
      <c r="E307" s="279" t="s">
        <v>34</v>
      </c>
      <c r="F307" s="41"/>
      <c r="G307" s="43"/>
      <c r="H307" s="146" t="s">
        <v>12</v>
      </c>
      <c r="I307" s="144"/>
      <c r="J307" s="144"/>
      <c r="K307" s="145"/>
      <c r="L307" s="50">
        <v>0</v>
      </c>
      <c r="M307" s="50">
        <v>0</v>
      </c>
      <c r="N307" s="50">
        <v>0</v>
      </c>
      <c r="O307" s="50">
        <f>IF(L307&gt;0,N307*100/L307,0)</f>
        <v>0</v>
      </c>
      <c r="P307" s="50">
        <f>IF(M307&gt;0,N307*100/M307,0)</f>
        <v>0</v>
      </c>
    </row>
    <row r="308" spans="1:16" ht="18.75" hidden="1" x14ac:dyDescent="0.25">
      <c r="A308" s="136"/>
      <c r="B308" s="41"/>
      <c r="C308" s="41"/>
      <c r="D308" s="41"/>
      <c r="E308" s="254" t="s">
        <v>35</v>
      </c>
      <c r="F308" s="41"/>
      <c r="G308" s="43"/>
      <c r="H308" s="143" t="s">
        <v>12</v>
      </c>
      <c r="I308" s="144"/>
      <c r="J308" s="144"/>
      <c r="K308" s="145"/>
      <c r="L308" s="47">
        <f ca="1">IFERROR(__xludf.DUMMYFUNCTION("IMPORTRANGE(""https://docs.google.com/spreadsheets/d/1-uDff_7J0KD5mKrp0Vvzr7lt3OU09vwQwhkpOPPYv2Y/edit?usp=sharing"",""งบพรบ!DY21"")"),0)</f>
        <v>0</v>
      </c>
      <c r="M308" s="47">
        <f ca="1">IFERROR(__xludf.DUMMYFUNCTION("IMPORTRANGE(""https://docs.google.com/spreadsheets/d/1-uDff_7J0KD5mKrp0Vvzr7lt3OU09vwQwhkpOPPYv2Y/edit?usp=sharing"",""งบพรบ!ED21"")"),0)</f>
        <v>0</v>
      </c>
      <c r="N308" s="47">
        <f ca="1">IFERROR(__xludf.DUMMYFUNCTION("IMPORTRANGE(""https://docs.google.com/spreadsheets/d/1-uDff_7J0KD5mKrp0Vvzr7lt3OU09vwQwhkpOPPYv2Y/edit?usp=sharing"",""งบพรบ!EF21"")"),0)</f>
        <v>0</v>
      </c>
      <c r="O308" s="47">
        <f ca="1">IF(L308&gt;0,N308*100/L308,0)</f>
        <v>0</v>
      </c>
      <c r="P308" s="47">
        <f ca="1">IF(M308&gt;0,N308*100/M308,0)</f>
        <v>0</v>
      </c>
    </row>
    <row r="309" spans="1:16" ht="18.75" hidden="1" x14ac:dyDescent="0.25">
      <c r="A309" s="136"/>
      <c r="B309" s="41"/>
      <c r="C309" s="41"/>
      <c r="D309" s="42" t="s">
        <v>21</v>
      </c>
      <c r="E309" s="41"/>
      <c r="F309" s="41"/>
      <c r="G309" s="43"/>
      <c r="H309" s="147" t="s">
        <v>12</v>
      </c>
      <c r="I309" s="144"/>
      <c r="J309" s="144"/>
      <c r="K309" s="145"/>
      <c r="L309" s="47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</row>
    <row r="310" spans="1:16" ht="18.75" hidden="1" x14ac:dyDescent="0.25">
      <c r="A310" s="136"/>
      <c r="B310" s="41"/>
      <c r="C310" s="41"/>
      <c r="D310" s="41"/>
      <c r="E310" s="279" t="s">
        <v>18</v>
      </c>
      <c r="F310" s="41"/>
      <c r="G310" s="43"/>
      <c r="H310" s="146" t="s">
        <v>12</v>
      </c>
      <c r="I310" s="144"/>
      <c r="J310" s="144"/>
      <c r="K310" s="145"/>
      <c r="L310" s="50">
        <v>0</v>
      </c>
      <c r="M310" s="50">
        <v>0</v>
      </c>
      <c r="N310" s="50">
        <v>0</v>
      </c>
      <c r="O310" s="50">
        <f>IF(L310&gt;0,N310*100/L310,0)</f>
        <v>0</v>
      </c>
      <c r="P310" s="50">
        <f>IF(M310&gt;0,N310*100/M310,0)</f>
        <v>0</v>
      </c>
    </row>
    <row r="311" spans="1:16" ht="18.75" hidden="1" x14ac:dyDescent="0.25">
      <c r="A311" s="136"/>
      <c r="B311" s="41"/>
      <c r="C311" s="41"/>
      <c r="D311" s="41"/>
      <c r="E311" s="254" t="s">
        <v>19</v>
      </c>
      <c r="F311" s="41"/>
      <c r="G311" s="43"/>
      <c r="H311" s="147" t="s">
        <v>12</v>
      </c>
      <c r="I311" s="144"/>
      <c r="J311" s="144"/>
      <c r="K311" s="145"/>
      <c r="L311" s="47">
        <f ca="1">IFERROR(__xludf.DUMMYFUNCTION("IMPORTRANGE(""https://docs.google.com/spreadsheets/d/1-uDff_7J0KD5mKrp0Vvzr7lt3OU09vwQwhkpOPPYv2Y/edit?usp=sharing"",""งบพรบ!EB21"")"),0)</f>
        <v>0</v>
      </c>
      <c r="M311" s="47">
        <f ca="1">IFERROR(__xludf.DUMMYFUNCTION("IMPORTRANGE(""https://docs.google.com/spreadsheets/d/1-uDff_7J0KD5mKrp0Vvzr7lt3OU09vwQwhkpOPPYv2Y/edit?usp=sharing"",""งบพรบ!EE21"")"),0)</f>
        <v>0</v>
      </c>
      <c r="N311" s="47">
        <f ca="1">IFERROR(__xludf.DUMMYFUNCTION("IMPORTRANGE(""https://docs.google.com/spreadsheets/d/1-uDff_7J0KD5mKrp0Vvzr7lt3OU09vwQwhkpOPPYv2Y/edit?usp=sharing"",""งบพรบ!EG21"")"),0)</f>
        <v>0</v>
      </c>
      <c r="O311" s="47">
        <f ca="1">IF(L311&gt;0,N311*100/L311,0)</f>
        <v>0</v>
      </c>
      <c r="P311" s="47">
        <f ca="1">IF(M311&gt;0,N311*100/M311,0)</f>
        <v>0</v>
      </c>
    </row>
    <row r="312" spans="1:16" ht="19.5" hidden="1" x14ac:dyDescent="0.3">
      <c r="A312" s="148"/>
      <c r="B312" s="149"/>
      <c r="C312" s="197" t="s">
        <v>16</v>
      </c>
      <c r="D312" s="395" t="s">
        <v>36</v>
      </c>
      <c r="E312" s="151"/>
      <c r="F312" s="151"/>
      <c r="G312" s="152"/>
      <c r="H312" s="153"/>
      <c r="I312" s="45"/>
      <c r="J312" s="45"/>
      <c r="K312" s="46"/>
      <c r="L312" s="46"/>
      <c r="M312" s="46"/>
      <c r="N312" s="46"/>
      <c r="O312" s="46"/>
      <c r="P312" s="46"/>
    </row>
    <row r="313" spans="1:16" ht="18.75" hidden="1" x14ac:dyDescent="0.25">
      <c r="A313" s="148"/>
      <c r="B313" s="149"/>
      <c r="C313" s="149"/>
      <c r="D313" s="159" t="s">
        <v>122</v>
      </c>
      <c r="E313" s="155"/>
      <c r="F313" s="155"/>
      <c r="G313" s="153"/>
      <c r="H313" s="153"/>
      <c r="I313" s="45"/>
      <c r="J313" s="250">
        <v>0</v>
      </c>
      <c r="K313" s="46"/>
      <c r="L313" s="46"/>
      <c r="M313" s="46"/>
      <c r="N313" s="46"/>
      <c r="O313" s="46"/>
      <c r="P313" s="46"/>
    </row>
    <row r="314" spans="1:16" ht="18.75" hidden="1" x14ac:dyDescent="0.25">
      <c r="A314" s="148"/>
      <c r="B314" s="149"/>
      <c r="C314" s="149"/>
      <c r="D314" s="159" t="s">
        <v>115</v>
      </c>
      <c r="E314" s="155"/>
      <c r="F314" s="155"/>
      <c r="G314" s="153"/>
      <c r="H314" s="251" t="s">
        <v>33</v>
      </c>
      <c r="I314" s="169">
        <f ca="1">IFERROR(__xludf.DUMMYFUNCTION("IMPORTRANGE(""https://docs.google.com/spreadsheets/d/1eHaY18a8A9IcSdp1K8H6x8fbOy06t2VsZHhMHf-1x7Y/edit?usp=sharing"",""แผน!EF21"")"),0)</f>
        <v>0</v>
      </c>
      <c r="J314" s="250">
        <v>0</v>
      </c>
      <c r="K314" s="47">
        <f ca="1">IF(I314&gt;0,J314*100/I314,0)</f>
        <v>0</v>
      </c>
      <c r="L314" s="46"/>
      <c r="M314" s="46"/>
      <c r="N314" s="46"/>
      <c r="O314" s="46"/>
      <c r="P314" s="46"/>
    </row>
    <row r="315" spans="1:16" ht="18.75" hidden="1" x14ac:dyDescent="0.25">
      <c r="A315" s="148"/>
      <c r="B315" s="149"/>
      <c r="C315" s="149"/>
      <c r="D315" s="159" t="s">
        <v>123</v>
      </c>
      <c r="E315" s="155"/>
      <c r="F315" s="155"/>
      <c r="G315" s="153"/>
      <c r="H315" s="251" t="s">
        <v>33</v>
      </c>
      <c r="I315" s="169">
        <f ca="1">IFERROR(__xludf.DUMMYFUNCTION("IMPORTRANGE(""https://docs.google.com/spreadsheets/d/1eHaY18a8A9IcSdp1K8H6x8fbOy06t2VsZHhMHf-1x7Y/edit?usp=sharing"",""แผน!EG21"")"),0)</f>
        <v>0</v>
      </c>
      <c r="J315" s="250">
        <v>0</v>
      </c>
      <c r="K315" s="47">
        <f ca="1">IF(I315&gt;0,J315*100/I315,0)</f>
        <v>0</v>
      </c>
      <c r="L315" s="46"/>
      <c r="M315" s="46"/>
      <c r="N315" s="46"/>
      <c r="O315" s="46"/>
      <c r="P315" s="46"/>
    </row>
    <row r="316" spans="1:16" ht="18.75" hidden="1" x14ac:dyDescent="0.25">
      <c r="A316" s="148"/>
      <c r="B316" s="149"/>
      <c r="C316" s="149"/>
      <c r="D316" s="159" t="s">
        <v>48</v>
      </c>
      <c r="E316" s="155"/>
      <c r="F316" s="155"/>
      <c r="G316" s="153"/>
      <c r="H316" s="251" t="s">
        <v>33</v>
      </c>
      <c r="I316" s="169">
        <f ca="1">IFERROR(__xludf.DUMMYFUNCTION("IMPORTRANGE(""https://docs.google.com/spreadsheets/d/1eHaY18a8A9IcSdp1K8H6x8fbOy06t2VsZHhMHf-1x7Y/edit?usp=sharing"",""แผน!EH21"")"),0)</f>
        <v>0</v>
      </c>
      <c r="J316" s="250">
        <v>0</v>
      </c>
      <c r="K316" s="47">
        <f ca="1">IF(I316&gt;0,J316*100/I316,0)</f>
        <v>0</v>
      </c>
      <c r="L316" s="46"/>
      <c r="M316" s="46"/>
      <c r="N316" s="46"/>
      <c r="O316" s="46"/>
      <c r="P316" s="46"/>
    </row>
    <row r="317" spans="1:16" ht="18.75" hidden="1" x14ac:dyDescent="0.25">
      <c r="A317" s="227"/>
      <c r="B317" s="228"/>
      <c r="C317" s="228"/>
      <c r="D317" s="279" t="s">
        <v>124</v>
      </c>
      <c r="E317" s="41"/>
      <c r="F317" s="41"/>
      <c r="G317" s="43"/>
      <c r="H317" s="49" t="s">
        <v>33</v>
      </c>
      <c r="I317" s="200">
        <f ca="1">IFERROR(__xludf.DUMMYFUNCTION("IMPORTRANGE(""https://docs.google.com/spreadsheets/d/1eHaY18a8A9IcSdp1K8H6x8fbOy06t2VsZHhMHf-1x7Y/edit?usp=sharing"",""แผน!EI21"")"),0)</f>
        <v>0</v>
      </c>
      <c r="J317" s="200">
        <v>0</v>
      </c>
      <c r="K317" s="50">
        <f ca="1">IF(I317&gt;0,J317*100/I317,0)</f>
        <v>0</v>
      </c>
      <c r="L317" s="46"/>
      <c r="M317" s="46"/>
      <c r="N317" s="46"/>
      <c r="O317" s="46"/>
      <c r="P317" s="46"/>
    </row>
    <row r="318" spans="1:16" ht="19.5" hidden="1" x14ac:dyDescent="0.3">
      <c r="A318" s="317" t="s">
        <v>125</v>
      </c>
      <c r="B318" s="318"/>
      <c r="C318" s="318"/>
      <c r="D318" s="319"/>
      <c r="E318" s="318"/>
      <c r="F318" s="318"/>
      <c r="G318" s="318"/>
      <c r="H318" s="319"/>
      <c r="I318" s="321"/>
      <c r="J318" s="321"/>
      <c r="K318" s="322"/>
      <c r="L318" s="322"/>
      <c r="M318" s="322"/>
      <c r="N318" s="322"/>
      <c r="O318" s="322"/>
      <c r="P318" s="322"/>
    </row>
    <row r="319" spans="1:16" ht="19.5" hidden="1" x14ac:dyDescent="0.3">
      <c r="A319" s="331"/>
      <c r="B319" s="324" t="s">
        <v>126</v>
      </c>
      <c r="C319" s="332"/>
      <c r="D319" s="333"/>
      <c r="E319" s="325"/>
      <c r="F319" s="325"/>
      <c r="G319" s="326"/>
      <c r="H319" s="327" t="s">
        <v>127</v>
      </c>
      <c r="I319" s="328">
        <f ca="1">I330</f>
        <v>0</v>
      </c>
      <c r="J319" s="328">
        <f>J330</f>
        <v>0</v>
      </c>
      <c r="K319" s="329">
        <f ca="1">IF(I319&gt;0,J319*100/I319,0)</f>
        <v>0</v>
      </c>
      <c r="L319" s="330"/>
      <c r="M319" s="330"/>
      <c r="N319" s="330"/>
      <c r="O319" s="330"/>
      <c r="P319" s="330"/>
    </row>
    <row r="320" spans="1:16" ht="19.5" hidden="1" x14ac:dyDescent="0.3">
      <c r="A320" s="136"/>
      <c r="B320" s="41"/>
      <c r="C320" s="197" t="s">
        <v>16</v>
      </c>
      <c r="D320" s="397" t="s">
        <v>17</v>
      </c>
      <c r="E320" s="41"/>
      <c r="F320" s="41"/>
      <c r="G320" s="43"/>
      <c r="H320" s="139" t="s">
        <v>12</v>
      </c>
      <c r="I320" s="45"/>
      <c r="J320" s="45"/>
      <c r="K320" s="46"/>
      <c r="L320" s="140">
        <f ca="1">L321+L322</f>
        <v>0</v>
      </c>
      <c r="M320" s="140">
        <f ca="1">M321+M322</f>
        <v>0</v>
      </c>
      <c r="N320" s="140">
        <f ca="1">N321+N322</f>
        <v>0</v>
      </c>
      <c r="O320" s="140">
        <f ca="1">IF(L320&gt;0,N320*100/L320,0)</f>
        <v>0</v>
      </c>
      <c r="P320" s="140">
        <f ca="1">IF(M320&gt;0,N320*100/M320,0)</f>
        <v>0</v>
      </c>
    </row>
    <row r="321" spans="1:16" ht="18.75" hidden="1" x14ac:dyDescent="0.25">
      <c r="A321" s="136"/>
      <c r="B321" s="41"/>
      <c r="C321" s="41"/>
      <c r="D321" s="41"/>
      <c r="E321" s="279" t="s">
        <v>18</v>
      </c>
      <c r="F321" s="41"/>
      <c r="G321" s="43"/>
      <c r="H321" s="141" t="s">
        <v>12</v>
      </c>
      <c r="I321" s="45"/>
      <c r="J321" s="45"/>
      <c r="K321" s="46"/>
      <c r="L321" s="50">
        <f>L324+L327</f>
        <v>0</v>
      </c>
      <c r="M321" s="50">
        <f>M324+M327</f>
        <v>0</v>
      </c>
      <c r="N321" s="50">
        <f>N324+N327</f>
        <v>0</v>
      </c>
      <c r="O321" s="50">
        <f>IF(L321&gt;0,N321*100/L321,0)</f>
        <v>0</v>
      </c>
      <c r="P321" s="50">
        <f>IF(M321&gt;0,N321*100/M321,0)</f>
        <v>0</v>
      </c>
    </row>
    <row r="322" spans="1:16" ht="18.75" hidden="1" x14ac:dyDescent="0.25">
      <c r="A322" s="136"/>
      <c r="B322" s="41"/>
      <c r="C322" s="41"/>
      <c r="D322" s="41"/>
      <c r="E322" s="254" t="s">
        <v>19</v>
      </c>
      <c r="F322" s="41"/>
      <c r="G322" s="43"/>
      <c r="H322" s="142" t="s">
        <v>12</v>
      </c>
      <c r="I322" s="45"/>
      <c r="J322" s="45"/>
      <c r="K322" s="46"/>
      <c r="L322" s="47">
        <f ca="1">L325+L328</f>
        <v>0</v>
      </c>
      <c r="M322" s="47">
        <f ca="1">M325+M328</f>
        <v>0</v>
      </c>
      <c r="N322" s="47">
        <f ca="1">N325+N328</f>
        <v>0</v>
      </c>
      <c r="O322" s="47">
        <f ca="1">IF(L322&gt;0,N322*100/L322,0)</f>
        <v>0</v>
      </c>
      <c r="P322" s="47">
        <f ca="1">IF(M322&gt;0,N322*100/M322,0)</f>
        <v>0</v>
      </c>
    </row>
    <row r="323" spans="1:16" ht="18.75" hidden="1" x14ac:dyDescent="0.25">
      <c r="A323" s="136"/>
      <c r="B323" s="41"/>
      <c r="C323" s="41"/>
      <c r="D323" s="42" t="s">
        <v>20</v>
      </c>
      <c r="E323" s="41"/>
      <c r="F323" s="41"/>
      <c r="G323" s="43"/>
      <c r="H323" s="143" t="s">
        <v>12</v>
      </c>
      <c r="I323" s="144"/>
      <c r="J323" s="144"/>
      <c r="K323" s="145"/>
      <c r="L323" s="47">
        <f ca="1">L324+L325</f>
        <v>0</v>
      </c>
      <c r="M323" s="47">
        <f ca="1">M324+M325</f>
        <v>0</v>
      </c>
      <c r="N323" s="47">
        <f ca="1">N324+N325</f>
        <v>0</v>
      </c>
      <c r="O323" s="47">
        <f ca="1">IF(L323&gt;0,N323*100/L323,0)</f>
        <v>0</v>
      </c>
      <c r="P323" s="47">
        <f ca="1">IF(M323&gt;0,N323*100/M323,0)</f>
        <v>0</v>
      </c>
    </row>
    <row r="324" spans="1:16" ht="18.75" hidden="1" x14ac:dyDescent="0.25">
      <c r="A324" s="136"/>
      <c r="B324" s="41"/>
      <c r="C324" s="41"/>
      <c r="D324" s="41"/>
      <c r="E324" s="279" t="s">
        <v>34</v>
      </c>
      <c r="F324" s="41"/>
      <c r="G324" s="43"/>
      <c r="H324" s="146" t="s">
        <v>12</v>
      </c>
      <c r="I324" s="144"/>
      <c r="J324" s="144"/>
      <c r="K324" s="145"/>
      <c r="L324" s="50">
        <v>0</v>
      </c>
      <c r="M324" s="50">
        <v>0</v>
      </c>
      <c r="N324" s="50">
        <v>0</v>
      </c>
      <c r="O324" s="50">
        <f>IF(L324&gt;0,N324*100/L324,0)</f>
        <v>0</v>
      </c>
      <c r="P324" s="50">
        <f>IF(M324&gt;0,N324*100/M324,0)</f>
        <v>0</v>
      </c>
    </row>
    <row r="325" spans="1:16" ht="18.75" hidden="1" x14ac:dyDescent="0.25">
      <c r="A325" s="136"/>
      <c r="B325" s="41"/>
      <c r="C325" s="41"/>
      <c r="D325" s="41"/>
      <c r="E325" s="254" t="s">
        <v>35</v>
      </c>
      <c r="F325" s="41"/>
      <c r="G325" s="43"/>
      <c r="H325" s="143" t="s">
        <v>12</v>
      </c>
      <c r="I325" s="144"/>
      <c r="J325" s="144"/>
      <c r="K325" s="145"/>
      <c r="L325" s="47">
        <f ca="1">IFERROR(__xludf.DUMMYFUNCTION("IMPORTRANGE(""https://docs.google.com/spreadsheets/d/1-uDff_7J0KD5mKrp0Vvzr7lt3OU09vwQwhkpOPPYv2Y/edit?usp=sharing"",""งบพรบ!EI21"")"),0)</f>
        <v>0</v>
      </c>
      <c r="M325" s="47">
        <f ca="1">IFERROR(__xludf.DUMMYFUNCTION("IMPORTRANGE(""https://docs.google.com/spreadsheets/d/1-uDff_7J0KD5mKrp0Vvzr7lt3OU09vwQwhkpOPPYv2Y/edit?usp=sharing"",""งบพรบ!EN21"")"),0)</f>
        <v>0</v>
      </c>
      <c r="N325" s="47">
        <f ca="1">IFERROR(__xludf.DUMMYFUNCTION("IMPORTRANGE(""https://docs.google.com/spreadsheets/d/1-uDff_7J0KD5mKrp0Vvzr7lt3OU09vwQwhkpOPPYv2Y/edit?usp=sharing"",""งบพรบ!EP21"")"),0)</f>
        <v>0</v>
      </c>
      <c r="O325" s="47">
        <f ca="1">IF(L325&gt;0,N325*100/L325,0)</f>
        <v>0</v>
      </c>
      <c r="P325" s="47">
        <f ca="1">IF(M325&gt;0,N325*100/M325,0)</f>
        <v>0</v>
      </c>
    </row>
    <row r="326" spans="1:16" ht="18.75" hidden="1" x14ac:dyDescent="0.25">
      <c r="A326" s="136"/>
      <c r="B326" s="41"/>
      <c r="C326" s="41"/>
      <c r="D326" s="42" t="s">
        <v>21</v>
      </c>
      <c r="E326" s="41"/>
      <c r="F326" s="41"/>
      <c r="G326" s="43"/>
      <c r="H326" s="147" t="s">
        <v>12</v>
      </c>
      <c r="I326" s="144"/>
      <c r="J326" s="144"/>
      <c r="K326" s="145"/>
      <c r="L326" s="47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</row>
    <row r="327" spans="1:16" ht="18.75" hidden="1" x14ac:dyDescent="0.25">
      <c r="A327" s="136"/>
      <c r="B327" s="41"/>
      <c r="C327" s="41"/>
      <c r="D327" s="41"/>
      <c r="E327" s="279" t="s">
        <v>18</v>
      </c>
      <c r="F327" s="41"/>
      <c r="G327" s="43"/>
      <c r="H327" s="146" t="s">
        <v>12</v>
      </c>
      <c r="I327" s="144"/>
      <c r="J327" s="144"/>
      <c r="K327" s="145"/>
      <c r="L327" s="50">
        <v>0</v>
      </c>
      <c r="M327" s="50">
        <v>0</v>
      </c>
      <c r="N327" s="50">
        <v>0</v>
      </c>
      <c r="O327" s="50">
        <f>IF(L327&gt;0,N327*100/L327,0)</f>
        <v>0</v>
      </c>
      <c r="P327" s="50">
        <f>IF(M327&gt;0,N327*100/M327,0)</f>
        <v>0</v>
      </c>
    </row>
    <row r="328" spans="1:16" ht="18.75" hidden="1" x14ac:dyDescent="0.25">
      <c r="A328" s="136"/>
      <c r="B328" s="41"/>
      <c r="C328" s="41"/>
      <c r="D328" s="41"/>
      <c r="E328" s="254" t="s">
        <v>19</v>
      </c>
      <c r="F328" s="41"/>
      <c r="G328" s="43"/>
      <c r="H328" s="147" t="s">
        <v>12</v>
      </c>
      <c r="I328" s="144"/>
      <c r="J328" s="144"/>
      <c r="K328" s="145"/>
      <c r="L328" s="47">
        <f ca="1">IFERROR(__xludf.DUMMYFUNCTION("IMPORTRANGE(""https://docs.google.com/spreadsheets/d/1-uDff_7J0KD5mKrp0Vvzr7lt3OU09vwQwhkpOPPYv2Y/edit?usp=sharing"",""งบพรบ!EL21"")"),0)</f>
        <v>0</v>
      </c>
      <c r="M328" s="47">
        <f ca="1">IFERROR(__xludf.DUMMYFUNCTION("IMPORTRANGE(""https://docs.google.com/spreadsheets/d/1-uDff_7J0KD5mKrp0Vvzr7lt3OU09vwQwhkpOPPYv2Y/edit?usp=sharing"",""งบพรบ!EO21"")"),0)</f>
        <v>0</v>
      </c>
      <c r="N328" s="47">
        <f ca="1">IFERROR(__xludf.DUMMYFUNCTION("IMPORTRANGE(""https://docs.google.com/spreadsheets/d/1-uDff_7J0KD5mKrp0Vvzr7lt3OU09vwQwhkpOPPYv2Y/edit?usp=sharing"",""งบพรบ!EQ21"")"),0)</f>
        <v>0</v>
      </c>
      <c r="O328" s="47">
        <f ca="1">IF(L328&gt;0,N328*100/L328,0)</f>
        <v>0</v>
      </c>
      <c r="P328" s="47">
        <f ca="1">IF(M328&gt;0,N328*100/M328,0)</f>
        <v>0</v>
      </c>
    </row>
    <row r="329" spans="1:16" ht="19.5" hidden="1" x14ac:dyDescent="0.3">
      <c r="A329" s="148"/>
      <c r="B329" s="149"/>
      <c r="C329" s="197" t="s">
        <v>16</v>
      </c>
      <c r="D329" s="395" t="s">
        <v>36</v>
      </c>
      <c r="E329" s="151"/>
      <c r="F329" s="151"/>
      <c r="G329" s="152"/>
      <c r="H329" s="153"/>
      <c r="I329" s="144"/>
      <c r="J329" s="45"/>
      <c r="K329" s="46"/>
      <c r="L329" s="46"/>
      <c r="M329" s="46"/>
      <c r="N329" s="46"/>
      <c r="O329" s="145"/>
      <c r="P329" s="145"/>
    </row>
    <row r="330" spans="1:16" ht="18.75" hidden="1" x14ac:dyDescent="0.25">
      <c r="A330" s="148"/>
      <c r="B330" s="149"/>
      <c r="C330" s="149"/>
      <c r="D330" s="154" t="s">
        <v>128</v>
      </c>
      <c r="E330" s="155"/>
      <c r="F330" s="155"/>
      <c r="G330" s="153"/>
      <c r="H330" s="44" t="s">
        <v>127</v>
      </c>
      <c r="I330" s="169">
        <f ca="1">IFERROR(__xludf.DUMMYFUNCTION("IMPORTRANGE(""https://docs.google.com/spreadsheets/d/1eHaY18a8A9IcSdp1K8H6x8fbOy06t2VsZHhMHf-1x7Y/edit?usp=sharing"",""แผน!EJ21"")"),0)</f>
        <v>0</v>
      </c>
      <c r="J330" s="250">
        <v>0</v>
      </c>
      <c r="K330" s="47">
        <f ca="1">IF(I330&gt;0,J330*100/I330,0)</f>
        <v>0</v>
      </c>
      <c r="L330" s="46"/>
      <c r="M330" s="46"/>
      <c r="N330" s="46"/>
      <c r="O330" s="145"/>
      <c r="P330" s="145"/>
    </row>
    <row r="331" spans="1:16" ht="19.5" x14ac:dyDescent="0.3">
      <c r="A331" s="317" t="s">
        <v>129</v>
      </c>
      <c r="B331" s="318"/>
      <c r="C331" s="318"/>
      <c r="D331" s="319"/>
      <c r="E331" s="318"/>
      <c r="F331" s="318"/>
      <c r="G331" s="318"/>
      <c r="H331" s="319"/>
      <c r="I331" s="321"/>
      <c r="J331" s="321"/>
      <c r="K331" s="322"/>
      <c r="L331" s="322"/>
      <c r="M331" s="322"/>
      <c r="N331" s="322"/>
      <c r="O331" s="322"/>
      <c r="P331" s="322"/>
    </row>
    <row r="332" spans="1:16" ht="19.5" x14ac:dyDescent="0.3">
      <c r="A332" s="323"/>
      <c r="B332" s="324" t="s">
        <v>130</v>
      </c>
      <c r="C332" s="333"/>
      <c r="D332" s="325"/>
      <c r="E332" s="325"/>
      <c r="F332" s="325"/>
      <c r="G332" s="326"/>
      <c r="H332" s="327" t="s">
        <v>33</v>
      </c>
      <c r="I332" s="334">
        <f ca="1">I344</f>
        <v>660</v>
      </c>
      <c r="J332" s="335">
        <f ca="1">J344+J347+J348+J349+J353</f>
        <v>619</v>
      </c>
      <c r="K332" s="336">
        <f ca="1">IF(I332&gt;0,J332*100/I332,0)</f>
        <v>93.787878787878782</v>
      </c>
      <c r="L332" s="330"/>
      <c r="M332" s="330"/>
      <c r="N332" s="330"/>
      <c r="O332" s="330"/>
      <c r="P332" s="330"/>
    </row>
    <row r="333" spans="1:16" ht="19.5" x14ac:dyDescent="0.3">
      <c r="A333" s="136"/>
      <c r="B333" s="41"/>
      <c r="C333" s="197" t="s">
        <v>16</v>
      </c>
      <c r="D333" s="397" t="s">
        <v>17</v>
      </c>
      <c r="E333" s="41"/>
      <c r="F333" s="41"/>
      <c r="G333" s="43"/>
      <c r="H333" s="139" t="s">
        <v>12</v>
      </c>
      <c r="I333" s="45"/>
      <c r="J333" s="45"/>
      <c r="K333" s="46"/>
      <c r="L333" s="140">
        <f ca="1">L334+L335</f>
        <v>103000</v>
      </c>
      <c r="M333" s="140">
        <f ca="1">M334+M335</f>
        <v>83350</v>
      </c>
      <c r="N333" s="140">
        <f ca="1">N334+N335</f>
        <v>26106.67</v>
      </c>
      <c r="O333" s="140">
        <f ca="1">IF(L333&gt;0,N333*100/L333,0)</f>
        <v>25.346281553398057</v>
      </c>
      <c r="P333" s="140">
        <f ca="1">IF(M333&gt;0,N333*100/M333,0)</f>
        <v>31.321739652069585</v>
      </c>
    </row>
    <row r="334" spans="1:16" ht="18.75" hidden="1" x14ac:dyDescent="0.25">
      <c r="A334" s="136"/>
      <c r="B334" s="41"/>
      <c r="C334" s="41"/>
      <c r="D334" s="41"/>
      <c r="E334" s="279" t="s">
        <v>18</v>
      </c>
      <c r="F334" s="41"/>
      <c r="G334" s="43"/>
      <c r="H334" s="141" t="s">
        <v>12</v>
      </c>
      <c r="I334" s="45"/>
      <c r="J334" s="45"/>
      <c r="K334" s="46"/>
      <c r="L334" s="50">
        <f>L337+L340</f>
        <v>0</v>
      </c>
      <c r="M334" s="50">
        <f>M337+M340</f>
        <v>0</v>
      </c>
      <c r="N334" s="50">
        <f>N337+N340</f>
        <v>0</v>
      </c>
      <c r="O334" s="50">
        <f>IF(L334&gt;0,N334*100/L334,0)</f>
        <v>0</v>
      </c>
      <c r="P334" s="50">
        <f>IF(M334&gt;0,N334*100/M334,0)</f>
        <v>0</v>
      </c>
    </row>
    <row r="335" spans="1:16" ht="18.75" hidden="1" x14ac:dyDescent="0.25">
      <c r="A335" s="136"/>
      <c r="B335" s="41"/>
      <c r="C335" s="41"/>
      <c r="D335" s="41"/>
      <c r="E335" s="254" t="s">
        <v>19</v>
      </c>
      <c r="F335" s="41"/>
      <c r="G335" s="43"/>
      <c r="H335" s="142" t="s">
        <v>12</v>
      </c>
      <c r="I335" s="45"/>
      <c r="J335" s="45"/>
      <c r="K335" s="46"/>
      <c r="L335" s="47">
        <f ca="1">L338+L341</f>
        <v>103000</v>
      </c>
      <c r="M335" s="47">
        <f ca="1">M338+M341</f>
        <v>83350</v>
      </c>
      <c r="N335" s="47">
        <f ca="1">N338+N341</f>
        <v>26106.67</v>
      </c>
      <c r="O335" s="47">
        <f ca="1">IF(L335&gt;0,N335*100/L335,0)</f>
        <v>25.346281553398057</v>
      </c>
      <c r="P335" s="47">
        <f ca="1">IF(M335&gt;0,N335*100/M335,0)</f>
        <v>31.321739652069585</v>
      </c>
    </row>
    <row r="336" spans="1:16" ht="18.75" x14ac:dyDescent="0.25">
      <c r="A336" s="136"/>
      <c r="B336" s="41"/>
      <c r="C336" s="41"/>
      <c r="D336" s="42" t="s">
        <v>20</v>
      </c>
      <c r="E336" s="41"/>
      <c r="F336" s="41"/>
      <c r="G336" s="43"/>
      <c r="H336" s="143" t="s">
        <v>12</v>
      </c>
      <c r="I336" s="144"/>
      <c r="J336" s="144"/>
      <c r="K336" s="145"/>
      <c r="L336" s="47">
        <f ca="1">L337+L338</f>
        <v>103000</v>
      </c>
      <c r="M336" s="47">
        <f ca="1">M337+M338</f>
        <v>83350</v>
      </c>
      <c r="N336" s="47">
        <f ca="1">N337+N338</f>
        <v>26106.67</v>
      </c>
      <c r="O336" s="47">
        <f ca="1">IF(L336&gt;0,N336*100/L336,0)</f>
        <v>25.346281553398057</v>
      </c>
      <c r="P336" s="47">
        <f ca="1">IF(M336&gt;0,N336*100/M336,0)</f>
        <v>31.321739652069585</v>
      </c>
    </row>
    <row r="337" spans="1:16" ht="18.75" hidden="1" x14ac:dyDescent="0.25">
      <c r="A337" s="136"/>
      <c r="B337" s="41"/>
      <c r="C337" s="41"/>
      <c r="D337" s="41"/>
      <c r="E337" s="279" t="s">
        <v>34</v>
      </c>
      <c r="F337" s="41"/>
      <c r="G337" s="43"/>
      <c r="H337" s="146" t="s">
        <v>12</v>
      </c>
      <c r="I337" s="144"/>
      <c r="J337" s="144"/>
      <c r="K337" s="145"/>
      <c r="L337" s="50">
        <v>0</v>
      </c>
      <c r="M337" s="50">
        <v>0</v>
      </c>
      <c r="N337" s="50">
        <v>0</v>
      </c>
      <c r="O337" s="50">
        <f>IF(L337&gt;0,N337*100/L337,0)</f>
        <v>0</v>
      </c>
      <c r="P337" s="50">
        <f>IF(M337&gt;0,N337*100/M337,0)</f>
        <v>0</v>
      </c>
    </row>
    <row r="338" spans="1:16" ht="18.75" hidden="1" x14ac:dyDescent="0.25">
      <c r="A338" s="136"/>
      <c r="B338" s="41"/>
      <c r="C338" s="41"/>
      <c r="D338" s="41"/>
      <c r="E338" s="254" t="s">
        <v>35</v>
      </c>
      <c r="F338" s="41"/>
      <c r="G338" s="43"/>
      <c r="H338" s="143" t="s">
        <v>12</v>
      </c>
      <c r="I338" s="144"/>
      <c r="J338" s="144"/>
      <c r="K338" s="145"/>
      <c r="L338" s="47">
        <f ca="1">IFERROR(__xludf.DUMMYFUNCTION("IMPORTRANGE(""https://docs.google.com/spreadsheets/d/1-uDff_7J0KD5mKrp0Vvzr7lt3OU09vwQwhkpOPPYv2Y/edit?usp=sharing"",""งบพรบ!ES21"")"),103000)</f>
        <v>103000</v>
      </c>
      <c r="M338" s="47">
        <f ca="1">IFERROR(__xludf.DUMMYFUNCTION("IMPORTRANGE(""https://docs.google.com/spreadsheets/d/1-uDff_7J0KD5mKrp0Vvzr7lt3OU09vwQwhkpOPPYv2Y/edit?usp=sharing"",""งบพรบ!EX21"")"),83350)</f>
        <v>83350</v>
      </c>
      <c r="N338" s="47">
        <f ca="1">IFERROR(__xludf.DUMMYFUNCTION("IMPORTRANGE(""https://docs.google.com/spreadsheets/d/1-uDff_7J0KD5mKrp0Vvzr7lt3OU09vwQwhkpOPPYv2Y/edit?usp=sharing"",""งบพรบ!EZ21"")"),26106.67)</f>
        <v>26106.67</v>
      </c>
      <c r="O338" s="47">
        <f ca="1">IF(L338&gt;0,N338*100/L338,0)</f>
        <v>25.346281553398057</v>
      </c>
      <c r="P338" s="47">
        <f ca="1">IF(M338&gt;0,N338*100/M338,0)</f>
        <v>31.321739652069585</v>
      </c>
    </row>
    <row r="339" spans="1:16" ht="18.75" x14ac:dyDescent="0.25">
      <c r="A339" s="136"/>
      <c r="B339" s="41"/>
      <c r="C339" s="41"/>
      <c r="D339" s="42" t="s">
        <v>21</v>
      </c>
      <c r="E339" s="41"/>
      <c r="F339" s="41"/>
      <c r="G339" s="43"/>
      <c r="H339" s="147" t="s">
        <v>12</v>
      </c>
      <c r="I339" s="144"/>
      <c r="J339" s="144"/>
      <c r="K339" s="145"/>
      <c r="L339" s="47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</row>
    <row r="340" spans="1:16" ht="18.75" hidden="1" x14ac:dyDescent="0.25">
      <c r="A340" s="136"/>
      <c r="B340" s="41"/>
      <c r="C340" s="41"/>
      <c r="D340" s="41"/>
      <c r="E340" s="279" t="s">
        <v>18</v>
      </c>
      <c r="F340" s="41"/>
      <c r="G340" s="43"/>
      <c r="H340" s="146" t="s">
        <v>12</v>
      </c>
      <c r="I340" s="144"/>
      <c r="J340" s="144"/>
      <c r="K340" s="145"/>
      <c r="L340" s="50">
        <v>0</v>
      </c>
      <c r="M340" s="50">
        <v>0</v>
      </c>
      <c r="N340" s="50">
        <v>0</v>
      </c>
      <c r="O340" s="50">
        <f>IF(L340&gt;0,N340*100/L340,0)</f>
        <v>0</v>
      </c>
      <c r="P340" s="50">
        <f>IF(M340&gt;0,N340*100/M340,0)</f>
        <v>0</v>
      </c>
    </row>
    <row r="341" spans="1:16" ht="18.75" hidden="1" x14ac:dyDescent="0.25">
      <c r="A341" s="136"/>
      <c r="B341" s="41"/>
      <c r="C341" s="41"/>
      <c r="D341" s="41"/>
      <c r="E341" s="254" t="s">
        <v>19</v>
      </c>
      <c r="F341" s="41"/>
      <c r="G341" s="43"/>
      <c r="H341" s="147" t="s">
        <v>12</v>
      </c>
      <c r="I341" s="144"/>
      <c r="J341" s="144"/>
      <c r="K341" s="145"/>
      <c r="L341" s="47">
        <f ca="1">IFERROR(__xludf.DUMMYFUNCTION("IMPORTRANGE(""https://docs.google.com/spreadsheets/d/1-uDff_7J0KD5mKrp0Vvzr7lt3OU09vwQwhkpOPPYv2Y/edit?usp=sharing"",""งบพรบ!EV21"")"),0)</f>
        <v>0</v>
      </c>
      <c r="M341" s="47">
        <f ca="1">IFERROR(__xludf.DUMMYFUNCTION("IMPORTRANGE(""https://docs.google.com/spreadsheets/d/1-uDff_7J0KD5mKrp0Vvzr7lt3OU09vwQwhkpOPPYv2Y/edit?usp=sharing"",""งบพรบ!EY21"")"),0)</f>
        <v>0</v>
      </c>
      <c r="N341" s="47">
        <f ca="1">IFERROR(__xludf.DUMMYFUNCTION("IMPORTRANGE(""https://docs.google.com/spreadsheets/d/1-uDff_7J0KD5mKrp0Vvzr7lt3OU09vwQwhkpOPPYv2Y/edit?usp=sharing"",""งบพรบ!FA21"")"),0)</f>
        <v>0</v>
      </c>
      <c r="O341" s="47">
        <f ca="1">IF(L341&gt;0,N341*100/L341,0)</f>
        <v>0</v>
      </c>
      <c r="P341" s="47">
        <f ca="1">IF(M341&gt;0,N341*100/M341,0)</f>
        <v>0</v>
      </c>
    </row>
    <row r="342" spans="1:16" ht="19.5" x14ac:dyDescent="0.3">
      <c r="A342" s="148"/>
      <c r="B342" s="149"/>
      <c r="C342" s="197" t="s">
        <v>16</v>
      </c>
      <c r="D342" s="221" t="s">
        <v>36</v>
      </c>
      <c r="E342" s="151"/>
      <c r="F342" s="151"/>
      <c r="G342" s="152"/>
      <c r="H342" s="43"/>
      <c r="I342" s="45"/>
      <c r="J342" s="45"/>
      <c r="K342" s="46"/>
      <c r="L342" s="46"/>
      <c r="M342" s="46"/>
      <c r="N342" s="46"/>
      <c r="O342" s="145"/>
      <c r="P342" s="145"/>
    </row>
    <row r="343" spans="1:16" ht="19.5" x14ac:dyDescent="0.3">
      <c r="A343" s="337"/>
      <c r="B343" s="338"/>
      <c r="C343" s="339"/>
      <c r="D343" s="338"/>
      <c r="E343" s="398" t="s">
        <v>131</v>
      </c>
      <c r="F343" s="338"/>
      <c r="G343" s="341"/>
      <c r="H343" s="342" t="s">
        <v>33</v>
      </c>
      <c r="I343" s="343">
        <v>0</v>
      </c>
      <c r="J343" s="343">
        <f ca="1">J344+J347+J348+J349</f>
        <v>148</v>
      </c>
      <c r="K343" s="344">
        <v>0</v>
      </c>
      <c r="L343" s="345"/>
      <c r="M343" s="345"/>
      <c r="N343" s="345"/>
      <c r="O343" s="345"/>
      <c r="P343" s="345"/>
    </row>
    <row r="344" spans="1:16" ht="18.75" x14ac:dyDescent="0.25">
      <c r="A344" s="227"/>
      <c r="B344" s="41"/>
      <c r="C344" s="228"/>
      <c r="D344" s="155"/>
      <c r="E344" s="159" t="s">
        <v>132</v>
      </c>
      <c r="F344" s="41"/>
      <c r="G344" s="43"/>
      <c r="H344" s="230" t="s">
        <v>33</v>
      </c>
      <c r="I344" s="169">
        <f ca="1">IFERROR(__xludf.DUMMYFUNCTION("IMPORTRANGE(""https://docs.google.com/spreadsheets/d/1eHaY18a8A9IcSdp1K8H6x8fbOy06t2VsZHhMHf-1x7Y/edit?usp=sharing"",""แผน!EK21"")"),660)</f>
        <v>660</v>
      </c>
      <c r="J344" s="169">
        <f ca="1">IFERROR(__xludf.DUMMYFUNCTION("IMPORTRANGE(""https://docs.google.com/spreadsheets/d/1awYsYK3VOup2i3Pq_Yjnu8DRu_mYwSBnCR2QPthd0rU/edit?usp=sharing"",""ศูนย์ยกเว้นโฉนด!D21"")"),75)</f>
        <v>75</v>
      </c>
      <c r="K344" s="47">
        <f ca="1">IF(I344&gt;0,J344*100/I344,0)</f>
        <v>11.363636363636363</v>
      </c>
      <c r="L344" s="46"/>
      <c r="M344" s="46"/>
      <c r="N344" s="46"/>
      <c r="O344" s="46"/>
      <c r="P344" s="46"/>
    </row>
    <row r="345" spans="1:16" ht="18.75" x14ac:dyDescent="0.25">
      <c r="A345" s="227"/>
      <c r="B345" s="41"/>
      <c r="C345" s="228"/>
      <c r="D345" s="155"/>
      <c r="E345" s="159" t="s">
        <v>133</v>
      </c>
      <c r="F345" s="41"/>
      <c r="G345" s="43"/>
      <c r="H345" s="346"/>
      <c r="I345" s="45"/>
      <c r="J345" s="45"/>
      <c r="K345" s="46"/>
      <c r="L345" s="46"/>
      <c r="M345" s="46"/>
      <c r="N345" s="46"/>
      <c r="O345" s="46"/>
      <c r="P345" s="46"/>
    </row>
    <row r="346" spans="1:16" ht="18.75" x14ac:dyDescent="0.25">
      <c r="A346" s="227"/>
      <c r="B346" s="41"/>
      <c r="C346" s="228"/>
      <c r="D346" s="155"/>
      <c r="E346" s="155"/>
      <c r="F346" s="159" t="s">
        <v>134</v>
      </c>
      <c r="G346" s="43"/>
      <c r="H346" s="347" t="s">
        <v>135</v>
      </c>
      <c r="I346" s="169">
        <f ca="1">IFERROR(__xludf.DUMMYFUNCTION("IMPORTRANGE(""https://docs.google.com/spreadsheets/d/1eHaY18a8A9IcSdp1K8H6x8fbOy06t2VsZHhMHf-1x7Y/edit?usp=sharing"",""แผน!EL21"")"),3)</f>
        <v>3</v>
      </c>
      <c r="J346" s="169">
        <f ca="1">IFERROR(__xludf.DUMMYFUNCTION("IMPORTRANGE(""https://docs.google.com/spreadsheets/d/1awYsYK3VOup2i3Pq_Yjnu8DRu_mYwSBnCR2QPthd0rU/edit?usp=sharing"",""ศูนย์รวม!E21"")"),0)</f>
        <v>0</v>
      </c>
      <c r="K346" s="47">
        <f ca="1">IF(I346&gt;0,J346*100/I346,0)</f>
        <v>0</v>
      </c>
      <c r="L346" s="46"/>
      <c r="M346" s="46"/>
      <c r="N346" s="46"/>
      <c r="O346" s="46"/>
      <c r="P346" s="46"/>
    </row>
    <row r="347" spans="1:16" ht="18.75" x14ac:dyDescent="0.25">
      <c r="A347" s="227"/>
      <c r="B347" s="41"/>
      <c r="C347" s="228"/>
      <c r="D347" s="155"/>
      <c r="E347" s="155"/>
      <c r="F347" s="159" t="s">
        <v>136</v>
      </c>
      <c r="G347" s="43"/>
      <c r="H347" s="347" t="s">
        <v>33</v>
      </c>
      <c r="I347" s="45"/>
      <c r="J347" s="169">
        <f ca="1">IFERROR(__xludf.DUMMYFUNCTION("IMPORTRANGE(""https://docs.google.com/spreadsheets/d/1awYsYK3VOup2i3Pq_Yjnu8DRu_mYwSBnCR2QPthd0rU/edit?usp=sharing"",""ศูนย์ยกเว้นโฉนด!F21"")"),72)</f>
        <v>72</v>
      </c>
      <c r="K347" s="46"/>
      <c r="L347" s="46"/>
      <c r="M347" s="46"/>
      <c r="N347" s="46"/>
      <c r="O347" s="46"/>
      <c r="P347" s="46"/>
    </row>
    <row r="348" spans="1:16" ht="18.75" x14ac:dyDescent="0.25">
      <c r="A348" s="227"/>
      <c r="B348" s="41"/>
      <c r="C348" s="228"/>
      <c r="D348" s="155"/>
      <c r="E348" s="159" t="s">
        <v>137</v>
      </c>
      <c r="F348" s="155"/>
      <c r="G348" s="43"/>
      <c r="H348" s="347" t="s">
        <v>33</v>
      </c>
      <c r="I348" s="45"/>
      <c r="J348" s="169">
        <f ca="1">IFERROR(__xludf.DUMMYFUNCTION("IMPORTRANGE(""https://docs.google.com/spreadsheets/d/1awYsYK3VOup2i3Pq_Yjnu8DRu_mYwSBnCR2QPthd0rU/edit?usp=sharing"",""ศูนย์ยกเว้นโฉนด!G21"")"),1)</f>
        <v>1</v>
      </c>
      <c r="K348" s="46"/>
      <c r="L348" s="46"/>
      <c r="M348" s="46"/>
      <c r="N348" s="46"/>
      <c r="O348" s="46"/>
      <c r="P348" s="46"/>
    </row>
    <row r="349" spans="1:16" ht="18.75" x14ac:dyDescent="0.25">
      <c r="A349" s="227"/>
      <c r="B349" s="41"/>
      <c r="C349" s="228"/>
      <c r="D349" s="149"/>
      <c r="E349" s="159" t="s">
        <v>138</v>
      </c>
      <c r="F349" s="155"/>
      <c r="G349" s="43"/>
      <c r="H349" s="347" t="s">
        <v>33</v>
      </c>
      <c r="I349" s="45"/>
      <c r="J349" s="169">
        <f ca="1">IFERROR(__xludf.DUMMYFUNCTION("IMPORTRANGE(""https://docs.google.com/spreadsheets/d/1awYsYK3VOup2i3Pq_Yjnu8DRu_mYwSBnCR2QPthd0rU/edit?usp=sharing"",""ศูนย์ยกเว้นโฉนด!H21"")"),0)</f>
        <v>0</v>
      </c>
      <c r="K349" s="46"/>
      <c r="L349" s="46"/>
      <c r="M349" s="46"/>
      <c r="N349" s="46"/>
      <c r="O349" s="46"/>
      <c r="P349" s="46"/>
    </row>
    <row r="350" spans="1:16" ht="16.5" x14ac:dyDescent="0.25">
      <c r="A350" s="228"/>
      <c r="B350" s="41"/>
      <c r="C350" s="228"/>
      <c r="D350" s="34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1"/>
      <c r="F350" s="41"/>
      <c r="G350" s="43"/>
      <c r="H350" s="346"/>
      <c r="I350" s="45"/>
      <c r="J350" s="45"/>
      <c r="K350" s="46"/>
      <c r="L350" s="46"/>
      <c r="M350" s="46"/>
      <c r="N350" s="46"/>
      <c r="O350" s="46"/>
      <c r="P350" s="46"/>
    </row>
    <row r="351" spans="1:16" ht="19.5" x14ac:dyDescent="0.3">
      <c r="A351" s="233"/>
      <c r="B351" s="236"/>
      <c r="C351" s="234"/>
      <c r="D351" s="236"/>
      <c r="E351" s="396" t="s">
        <v>139</v>
      </c>
      <c r="F351" s="236"/>
      <c r="G351" s="237"/>
      <c r="H351" s="238" t="s">
        <v>33</v>
      </c>
      <c r="I351" s="239">
        <v>0</v>
      </c>
      <c r="J351" s="239">
        <f ca="1">J352+J353</f>
        <v>502</v>
      </c>
      <c r="K351" s="240">
        <v>0</v>
      </c>
      <c r="L351" s="241"/>
      <c r="M351" s="241"/>
      <c r="N351" s="241"/>
      <c r="O351" s="241"/>
      <c r="P351" s="241"/>
    </row>
    <row r="352" spans="1:16" ht="18.75" x14ac:dyDescent="0.25">
      <c r="A352" s="228"/>
      <c r="B352" s="41"/>
      <c r="C352" s="228"/>
      <c r="D352" s="155"/>
      <c r="E352" s="159" t="s">
        <v>140</v>
      </c>
      <c r="F352" s="41"/>
      <c r="G352" s="43"/>
      <c r="H352" s="142" t="s">
        <v>33</v>
      </c>
      <c r="I352" s="45"/>
      <c r="J352" s="169">
        <f ca="1">IFERROR(__xludf.DUMMYFUNCTION("IMPORTRANGE(""https://docs.google.com/spreadsheets/d/1awYsYK3VOup2i3Pq_Yjnu8DRu_mYwSBnCR2QPthd0rU/edit?usp=sharing"",""โฉนดM3!G21"")"),31)</f>
        <v>31</v>
      </c>
      <c r="K352" s="46"/>
      <c r="L352" s="46"/>
      <c r="M352" s="46"/>
      <c r="N352" s="46"/>
      <c r="O352" s="46"/>
      <c r="P352" s="46"/>
    </row>
    <row r="353" spans="1:16" ht="18.75" x14ac:dyDescent="0.25">
      <c r="A353" s="228"/>
      <c r="B353" s="41"/>
      <c r="C353" s="228"/>
      <c r="D353" s="155"/>
      <c r="E353" s="159" t="s">
        <v>141</v>
      </c>
      <c r="F353" s="41"/>
      <c r="G353" s="43"/>
      <c r="H353" s="142" t="s">
        <v>33</v>
      </c>
      <c r="I353" s="45"/>
      <c r="J353" s="169">
        <f ca="1">IFERROR(__xludf.DUMMYFUNCTION("IMPORTRANGE(""https://docs.google.com/spreadsheets/d/1awYsYK3VOup2i3Pq_Yjnu8DRu_mYwSBnCR2QPthd0rU/edit?usp=sharing"",""โฉนดM3!H21"")"),471)</f>
        <v>471</v>
      </c>
      <c r="K353" s="46"/>
      <c r="L353" s="46"/>
      <c r="M353" s="46"/>
      <c r="N353" s="46"/>
      <c r="O353" s="46"/>
      <c r="P353" s="46"/>
    </row>
    <row r="354" spans="1:16" ht="16.5" x14ac:dyDescent="0.25">
      <c r="A354" s="228"/>
      <c r="B354" s="41"/>
      <c r="C354" s="228"/>
      <c r="D354" s="34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1"/>
      <c r="F354" s="41"/>
      <c r="G354" s="43"/>
      <c r="H354" s="346"/>
      <c r="I354" s="45"/>
      <c r="J354" s="45"/>
      <c r="K354" s="46"/>
      <c r="L354" s="46"/>
      <c r="M354" s="46"/>
      <c r="N354" s="46"/>
      <c r="O354" s="46"/>
      <c r="P354" s="46"/>
    </row>
    <row r="355" spans="1:16" ht="19.5" x14ac:dyDescent="0.3">
      <c r="A355" s="323"/>
      <c r="B355" s="324" t="s">
        <v>142</v>
      </c>
      <c r="C355" s="333"/>
      <c r="D355" s="325"/>
      <c r="E355" s="325"/>
      <c r="F355" s="325"/>
      <c r="G355" s="326"/>
      <c r="H355" s="326"/>
      <c r="I355" s="350"/>
      <c r="J355" s="350"/>
      <c r="K355" s="330"/>
      <c r="L355" s="330"/>
      <c r="M355" s="330"/>
      <c r="N355" s="330"/>
      <c r="O355" s="330"/>
      <c r="P355" s="330"/>
    </row>
    <row r="356" spans="1:16" ht="19.5" x14ac:dyDescent="0.3">
      <c r="A356" s="136"/>
      <c r="B356" s="41"/>
      <c r="C356" s="197" t="s">
        <v>16</v>
      </c>
      <c r="D356" s="397" t="s">
        <v>17</v>
      </c>
      <c r="E356" s="41"/>
      <c r="F356" s="41"/>
      <c r="G356" s="43"/>
      <c r="H356" s="139" t="s">
        <v>12</v>
      </c>
      <c r="I356" s="45"/>
      <c r="J356" s="45"/>
      <c r="K356" s="46"/>
      <c r="L356" s="140">
        <f ca="1">L357+L358</f>
        <v>450035</v>
      </c>
      <c r="M356" s="140">
        <f ca="1">M357+M358</f>
        <v>352435</v>
      </c>
      <c r="N356" s="140">
        <f ca="1">N357+N358</f>
        <v>45606.66</v>
      </c>
      <c r="O356" s="140">
        <f ca="1">IF(L356&gt;0,N356*100/L356,0)</f>
        <v>10.134025131378671</v>
      </c>
      <c r="P356" s="140">
        <f ca="1">IF(M356&gt;0,N356*100/M356,0)</f>
        <v>12.940445755954999</v>
      </c>
    </row>
    <row r="357" spans="1:16" ht="18.75" hidden="1" x14ac:dyDescent="0.25">
      <c r="A357" s="136"/>
      <c r="B357" s="41"/>
      <c r="C357" s="41"/>
      <c r="D357" s="41"/>
      <c r="E357" s="279" t="s">
        <v>18</v>
      </c>
      <c r="F357" s="41"/>
      <c r="G357" s="43"/>
      <c r="H357" s="141" t="s">
        <v>12</v>
      </c>
      <c r="I357" s="45"/>
      <c r="J357" s="45"/>
      <c r="K357" s="46"/>
      <c r="L357" s="50">
        <f>L360+L363</f>
        <v>0</v>
      </c>
      <c r="M357" s="50">
        <f>M360+M363</f>
        <v>0</v>
      </c>
      <c r="N357" s="50">
        <f>N360+N363</f>
        <v>0</v>
      </c>
      <c r="O357" s="50">
        <f>IF(L357&gt;0,N357*100/L357,0)</f>
        <v>0</v>
      </c>
      <c r="P357" s="50">
        <f>IF(M357&gt;0,N357*100/M357,0)</f>
        <v>0</v>
      </c>
    </row>
    <row r="358" spans="1:16" ht="18.75" hidden="1" x14ac:dyDescent="0.25">
      <c r="A358" s="136"/>
      <c r="B358" s="41"/>
      <c r="C358" s="41"/>
      <c r="D358" s="41"/>
      <c r="E358" s="254" t="s">
        <v>19</v>
      </c>
      <c r="F358" s="41"/>
      <c r="G358" s="43"/>
      <c r="H358" s="142" t="s">
        <v>12</v>
      </c>
      <c r="I358" s="45"/>
      <c r="J358" s="45"/>
      <c r="K358" s="46"/>
      <c r="L358" s="47">
        <f ca="1">L361+L364</f>
        <v>450035</v>
      </c>
      <c r="M358" s="47">
        <f ca="1">M361+M364</f>
        <v>352435</v>
      </c>
      <c r="N358" s="47">
        <f ca="1">N361+N364</f>
        <v>45606.66</v>
      </c>
      <c r="O358" s="47">
        <f ca="1">IF(L358&gt;0,N358*100/L358,0)</f>
        <v>10.134025131378671</v>
      </c>
      <c r="P358" s="47">
        <f ca="1">IF(M358&gt;0,N358*100/M358,0)</f>
        <v>12.940445755954999</v>
      </c>
    </row>
    <row r="359" spans="1:16" ht="18.75" x14ac:dyDescent="0.25">
      <c r="A359" s="136"/>
      <c r="B359" s="41"/>
      <c r="C359" s="41"/>
      <c r="D359" s="42" t="s">
        <v>20</v>
      </c>
      <c r="E359" s="41"/>
      <c r="F359" s="41"/>
      <c r="G359" s="43"/>
      <c r="H359" s="143" t="s">
        <v>12</v>
      </c>
      <c r="I359" s="144"/>
      <c r="J359" s="144"/>
      <c r="K359" s="145"/>
      <c r="L359" s="47">
        <f ca="1">L360+L361</f>
        <v>450035</v>
      </c>
      <c r="M359" s="47">
        <f ca="1">M360+M361</f>
        <v>352435</v>
      </c>
      <c r="N359" s="47">
        <f ca="1">N360+N361</f>
        <v>45606.66</v>
      </c>
      <c r="O359" s="47">
        <f ca="1">IF(L359&gt;0,N359*100/L359,0)</f>
        <v>10.134025131378671</v>
      </c>
      <c r="P359" s="47">
        <f ca="1">IF(M359&gt;0,N359*100/M359,0)</f>
        <v>12.940445755954999</v>
      </c>
    </row>
    <row r="360" spans="1:16" ht="18.75" hidden="1" x14ac:dyDescent="0.25">
      <c r="A360" s="136"/>
      <c r="B360" s="41"/>
      <c r="C360" s="41"/>
      <c r="D360" s="41"/>
      <c r="E360" s="279" t="s">
        <v>34</v>
      </c>
      <c r="F360" s="41"/>
      <c r="G360" s="43"/>
      <c r="H360" s="146" t="s">
        <v>12</v>
      </c>
      <c r="I360" s="144"/>
      <c r="J360" s="144"/>
      <c r="K360" s="145"/>
      <c r="L360" s="50">
        <v>0</v>
      </c>
      <c r="M360" s="50">
        <v>0</v>
      </c>
      <c r="N360" s="50">
        <v>0</v>
      </c>
      <c r="O360" s="50">
        <f>IF(L360&gt;0,N360*100/L360,0)</f>
        <v>0</v>
      </c>
      <c r="P360" s="50">
        <f>IF(M360&gt;0,N360*100/M360,0)</f>
        <v>0</v>
      </c>
    </row>
    <row r="361" spans="1:16" ht="18.75" hidden="1" x14ac:dyDescent="0.25">
      <c r="A361" s="136"/>
      <c r="B361" s="41"/>
      <c r="C361" s="41"/>
      <c r="D361" s="41"/>
      <c r="E361" s="254" t="s">
        <v>35</v>
      </c>
      <c r="F361" s="41"/>
      <c r="G361" s="43"/>
      <c r="H361" s="143" t="s">
        <v>12</v>
      </c>
      <c r="I361" s="144"/>
      <c r="J361" s="144"/>
      <c r="K361" s="145"/>
      <c r="L361" s="47">
        <f ca="1">IFERROR(__xludf.DUMMYFUNCTION("IMPORTRANGE(""https://docs.google.com/spreadsheets/d/1-uDff_7J0KD5mKrp0Vvzr7lt3OU09vwQwhkpOPPYv2Y/edit?usp=sharing"",""งบพรบ!FC21"")"),450035)</f>
        <v>450035</v>
      </c>
      <c r="M361" s="47">
        <f ca="1">IFERROR(__xludf.DUMMYFUNCTION("IMPORTRANGE(""https://docs.google.com/spreadsheets/d/1-uDff_7J0KD5mKrp0Vvzr7lt3OU09vwQwhkpOPPYv2Y/edit?usp=sharing"",""งบพรบ!FH21"")"),352435)</f>
        <v>352435</v>
      </c>
      <c r="N361" s="47">
        <f ca="1">IFERROR(__xludf.DUMMYFUNCTION("IMPORTRANGE(""https://docs.google.com/spreadsheets/d/1-uDff_7J0KD5mKrp0Vvzr7lt3OU09vwQwhkpOPPYv2Y/edit?usp=sharing"",""งบพรบ!FJ21"")"),45606.66)</f>
        <v>45606.66</v>
      </c>
      <c r="O361" s="47">
        <f ca="1">IF(L361&gt;0,N361*100/L361,0)</f>
        <v>10.134025131378671</v>
      </c>
      <c r="P361" s="47">
        <f ca="1">IF(M361&gt;0,N361*100/M361,0)</f>
        <v>12.940445755954999</v>
      </c>
    </row>
    <row r="362" spans="1:16" ht="18.75" x14ac:dyDescent="0.25">
      <c r="A362" s="136"/>
      <c r="B362" s="41"/>
      <c r="C362" s="41"/>
      <c r="D362" s="42" t="s">
        <v>21</v>
      </c>
      <c r="E362" s="41"/>
      <c r="F362" s="41"/>
      <c r="G362" s="43"/>
      <c r="H362" s="147" t="s">
        <v>12</v>
      </c>
      <c r="I362" s="144"/>
      <c r="J362" s="144"/>
      <c r="K362" s="145"/>
      <c r="L362" s="47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</row>
    <row r="363" spans="1:16" ht="18.75" hidden="1" x14ac:dyDescent="0.25">
      <c r="A363" s="136"/>
      <c r="B363" s="41"/>
      <c r="C363" s="41"/>
      <c r="D363" s="41"/>
      <c r="E363" s="279" t="s">
        <v>18</v>
      </c>
      <c r="F363" s="41"/>
      <c r="G363" s="43"/>
      <c r="H363" s="146" t="s">
        <v>12</v>
      </c>
      <c r="I363" s="144"/>
      <c r="J363" s="144"/>
      <c r="K363" s="145"/>
      <c r="L363" s="50">
        <v>0</v>
      </c>
      <c r="M363" s="50">
        <v>0</v>
      </c>
      <c r="N363" s="50">
        <v>0</v>
      </c>
      <c r="O363" s="50">
        <f>IF(L363&gt;0,N363*100/L363,0)</f>
        <v>0</v>
      </c>
      <c r="P363" s="50">
        <f>IF(M363&gt;0,N363*100/M363,0)</f>
        <v>0</v>
      </c>
    </row>
    <row r="364" spans="1:16" ht="18.75" hidden="1" x14ac:dyDescent="0.25">
      <c r="A364" s="136"/>
      <c r="B364" s="41"/>
      <c r="C364" s="41"/>
      <c r="D364" s="41"/>
      <c r="E364" s="254" t="s">
        <v>19</v>
      </c>
      <c r="F364" s="41"/>
      <c r="G364" s="43"/>
      <c r="H364" s="147" t="s">
        <v>12</v>
      </c>
      <c r="I364" s="144"/>
      <c r="J364" s="144"/>
      <c r="K364" s="145"/>
      <c r="L364" s="47">
        <f ca="1">IFERROR(__xludf.DUMMYFUNCTION("IMPORTRANGE(""https://docs.google.com/spreadsheets/d/1-uDff_7J0KD5mKrp0Vvzr7lt3OU09vwQwhkpOPPYv2Y/edit?usp=sharing"",""งบพรบ!FF21"")"),0)</f>
        <v>0</v>
      </c>
      <c r="M364" s="47">
        <f ca="1">IFERROR(__xludf.DUMMYFUNCTION("IMPORTRANGE(""https://docs.google.com/spreadsheets/d/1-uDff_7J0KD5mKrp0Vvzr7lt3OU09vwQwhkpOPPYv2Y/edit?usp=sharing"",""งบพรบ!FI21"")"),0)</f>
        <v>0</v>
      </c>
      <c r="N364" s="47">
        <f ca="1">IFERROR(__xludf.DUMMYFUNCTION("IMPORTRANGE(""https://docs.google.com/spreadsheets/d/1-uDff_7J0KD5mKrp0Vvzr7lt3OU09vwQwhkpOPPYv2Y/edit?usp=sharing"",""งบพรบ!FK21"")"),0)</f>
        <v>0</v>
      </c>
      <c r="O364" s="47">
        <f ca="1">IF(L364&gt;0,N364*100/L364,0)</f>
        <v>0</v>
      </c>
      <c r="P364" s="47">
        <f ca="1">IF(M364&gt;0,N364*100/M364,0)</f>
        <v>0</v>
      </c>
    </row>
    <row r="365" spans="1:16" ht="19.5" x14ac:dyDescent="0.3">
      <c r="A365" s="233"/>
      <c r="B365" s="234"/>
      <c r="C365" s="236"/>
      <c r="D365" s="396" t="s">
        <v>143</v>
      </c>
      <c r="E365" s="236"/>
      <c r="F365" s="236"/>
      <c r="G365" s="237"/>
      <c r="H365" s="245" t="s">
        <v>33</v>
      </c>
      <c r="I365" s="239">
        <f ca="1">I371</f>
        <v>100</v>
      </c>
      <c r="J365" s="239">
        <f ca="1">J371</f>
        <v>0</v>
      </c>
      <c r="K365" s="240">
        <f ca="1">IF(I365&gt;0,J365*100/I365,0)</f>
        <v>0</v>
      </c>
      <c r="L365" s="241"/>
      <c r="M365" s="241"/>
      <c r="N365" s="241"/>
      <c r="O365" s="241"/>
      <c r="P365" s="241"/>
    </row>
    <row r="366" spans="1:16" ht="19.5" x14ac:dyDescent="0.3">
      <c r="A366" s="148"/>
      <c r="B366" s="149"/>
      <c r="C366" s="197" t="s">
        <v>16</v>
      </c>
      <c r="D366" s="395" t="s">
        <v>36</v>
      </c>
      <c r="E366" s="151"/>
      <c r="F366" s="151"/>
      <c r="G366" s="152"/>
      <c r="H366" s="153"/>
      <c r="I366" s="45"/>
      <c r="J366" s="45"/>
      <c r="K366" s="46"/>
      <c r="L366" s="145"/>
      <c r="M366" s="145"/>
      <c r="N366" s="145"/>
      <c r="O366" s="145"/>
      <c r="P366" s="145"/>
    </row>
    <row r="367" spans="1:16" ht="18.75" x14ac:dyDescent="0.25">
      <c r="A367" s="148"/>
      <c r="B367" s="155"/>
      <c r="C367" s="149"/>
      <c r="D367" s="155"/>
      <c r="E367" s="154" t="s">
        <v>144</v>
      </c>
      <c r="F367" s="155"/>
      <c r="G367" s="153"/>
      <c r="H367" s="164" t="s">
        <v>33</v>
      </c>
      <c r="I367" s="169">
        <v>0</v>
      </c>
      <c r="J367" s="169">
        <f ca="1">IFERROR(__xludf.DUMMYFUNCTION("IMPORTRANGE(""https://docs.google.com/spreadsheets/d/1tdoBKaGub7dwA3U6UFTqxio9LNnvDCQjHKmttSEBsFQ/edit?usp=sharing"",""จัดที่ดิน!AB21"")"),0)</f>
        <v>0</v>
      </c>
      <c r="K367" s="47">
        <f>IF(I367&gt;0,J367*100/I367,0)</f>
        <v>0</v>
      </c>
      <c r="L367" s="145"/>
      <c r="M367" s="145"/>
      <c r="N367" s="145"/>
      <c r="O367" s="145"/>
      <c r="P367" s="145"/>
    </row>
    <row r="368" spans="1:16" ht="18.75" x14ac:dyDescent="0.25">
      <c r="A368" s="148"/>
      <c r="B368" s="155"/>
      <c r="C368" s="149"/>
      <c r="D368" s="155"/>
      <c r="E368" s="155"/>
      <c r="F368" s="155"/>
      <c r="G368" s="153"/>
      <c r="H368" s="164" t="s">
        <v>44</v>
      </c>
      <c r="I368" s="169">
        <f ca="1">IFERROR(__xludf.DUMMYFUNCTION("IMPORTRANGE(""https://docs.google.com/spreadsheets/d/1eHaY18a8A9IcSdp1K8H6x8fbOy06t2VsZHhMHf-1x7Y/edit?usp=sharing"",""แผน!EW21"")"),775)</f>
        <v>775</v>
      </c>
      <c r="J368" s="351">
        <f ca="1">IFERROR(__xludf.DUMMYFUNCTION("IMPORTRANGE(""https://docs.google.com/spreadsheets/d/1tdoBKaGub7dwA3U6UFTqxio9LNnvDCQjHKmttSEBsFQ/edit?usp=sharing"",""จัดที่ดิน!AC21"")"),0)</f>
        <v>0</v>
      </c>
      <c r="K368" s="47">
        <f ca="1">IF(I368&gt;0,J368*100/I368,0)</f>
        <v>0</v>
      </c>
      <c r="L368" s="145"/>
      <c r="M368" s="145"/>
      <c r="N368" s="145"/>
      <c r="O368" s="145"/>
      <c r="P368" s="145"/>
    </row>
    <row r="369" spans="1:16" ht="18.75" x14ac:dyDescent="0.25">
      <c r="A369" s="148"/>
      <c r="B369" s="155"/>
      <c r="C369" s="149"/>
      <c r="D369" s="155"/>
      <c r="E369" s="154" t="s">
        <v>145</v>
      </c>
      <c r="F369" s="155"/>
      <c r="G369" s="153"/>
      <c r="H369" s="251" t="s">
        <v>33</v>
      </c>
      <c r="I369" s="169">
        <f ca="1">IFERROR(__xludf.DUMMYFUNCTION("IMPORTRANGE(""https://docs.google.com/spreadsheets/d/1eHaY18a8A9IcSdp1K8H6x8fbOy06t2VsZHhMHf-1x7Y/edit?usp=sharing"",""แผน!EX21"")"),152)</f>
        <v>152</v>
      </c>
      <c r="J369" s="169">
        <f ca="1">IFERROR(__xludf.DUMMYFUNCTION("IMPORTRANGE(""https://docs.google.com/spreadsheets/d/1tdoBKaGub7dwA3U6UFTqxio9LNnvDCQjHKmttSEBsFQ/edit?usp=sharing"",""จัดที่ดิน!AD21"")"),0)</f>
        <v>0</v>
      </c>
      <c r="K369" s="47">
        <f ca="1">IF(I369&gt;0,J369*100/I369,0)</f>
        <v>0</v>
      </c>
      <c r="L369" s="145"/>
      <c r="M369" s="145"/>
      <c r="N369" s="145"/>
      <c r="O369" s="145"/>
      <c r="P369" s="145"/>
    </row>
    <row r="370" spans="1:16" ht="18.75" x14ac:dyDescent="0.25">
      <c r="A370" s="148"/>
      <c r="B370" s="155"/>
      <c r="C370" s="149"/>
      <c r="D370" s="155"/>
      <c r="E370" s="155"/>
      <c r="F370" s="155"/>
      <c r="G370" s="153"/>
      <c r="H370" s="251" t="s">
        <v>44</v>
      </c>
      <c r="I370" s="169">
        <v>0</v>
      </c>
      <c r="J370" s="351">
        <f ca="1">IFERROR(__xludf.DUMMYFUNCTION("IMPORTRANGE(""https://docs.google.com/spreadsheets/d/1tdoBKaGub7dwA3U6UFTqxio9LNnvDCQjHKmttSEBsFQ/edit?usp=sharing"",""จัดที่ดิน!AE21"")"),0)</f>
        <v>0</v>
      </c>
      <c r="K370" s="47">
        <f>IF(I370&gt;0,J370*100/I370,0)</f>
        <v>0</v>
      </c>
      <c r="L370" s="145"/>
      <c r="M370" s="145"/>
      <c r="N370" s="145"/>
      <c r="O370" s="145"/>
      <c r="P370" s="145"/>
    </row>
    <row r="371" spans="1:16" ht="18.75" x14ac:dyDescent="0.25">
      <c r="A371" s="148"/>
      <c r="B371" s="155"/>
      <c r="C371" s="149"/>
      <c r="D371" s="155"/>
      <c r="E371" s="154" t="s">
        <v>146</v>
      </c>
      <c r="F371" s="155"/>
      <c r="G371" s="153"/>
      <c r="H371" s="251" t="s">
        <v>33</v>
      </c>
      <c r="I371" s="169">
        <f ca="1">IFERROR(__xludf.DUMMYFUNCTION("IMPORTRANGE(""https://docs.google.com/spreadsheets/d/1eHaY18a8A9IcSdp1K8H6x8fbOy06t2VsZHhMHf-1x7Y/edit?usp=sharing"",""แผน!EY21"")"),100)</f>
        <v>100</v>
      </c>
      <c r="J371" s="169">
        <f ca="1">IFERROR(__xludf.DUMMYFUNCTION("IMPORTRANGE(""https://docs.google.com/spreadsheets/d/1tdoBKaGub7dwA3U6UFTqxio9LNnvDCQjHKmttSEBsFQ/edit?usp=sharing"",""จัดที่ดิน!AF21"")"),0)</f>
        <v>0</v>
      </c>
      <c r="K371" s="47">
        <f ca="1">IF(I371&gt;0,J371*100/I371,0)</f>
        <v>0</v>
      </c>
      <c r="L371" s="145"/>
      <c r="M371" s="145"/>
      <c r="N371" s="145"/>
      <c r="O371" s="145"/>
      <c r="P371" s="145"/>
    </row>
    <row r="372" spans="1:16" ht="18.75" x14ac:dyDescent="0.25">
      <c r="A372" s="148"/>
      <c r="B372" s="155"/>
      <c r="C372" s="149"/>
      <c r="D372" s="155"/>
      <c r="E372" s="155"/>
      <c r="F372" s="155"/>
      <c r="G372" s="153"/>
      <c r="H372" s="251" t="s">
        <v>44</v>
      </c>
      <c r="I372" s="169">
        <v>0</v>
      </c>
      <c r="J372" s="351">
        <f ca="1">IFERROR(__xludf.DUMMYFUNCTION("IMPORTRANGE(""https://docs.google.com/spreadsheets/d/1tdoBKaGub7dwA3U6UFTqxio9LNnvDCQjHKmttSEBsFQ/edit?usp=sharing"",""จัดที่ดิน!AG21"")"),0)</f>
        <v>0</v>
      </c>
      <c r="K372" s="47">
        <f>IF(I372&gt;0,J372*100/I372,0)</f>
        <v>0</v>
      </c>
      <c r="L372" s="145"/>
      <c r="M372" s="145"/>
      <c r="N372" s="145"/>
      <c r="O372" s="145"/>
      <c r="P372" s="145"/>
    </row>
    <row r="373" spans="1:16" ht="16.5" x14ac:dyDescent="0.25">
      <c r="A373" s="2"/>
      <c r="B373" s="1"/>
      <c r="C373" s="2"/>
      <c r="D373" s="352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4"/>
      <c r="H373" s="54"/>
      <c r="I373" s="56"/>
      <c r="J373" s="56"/>
      <c r="K373" s="57"/>
      <c r="L373" s="57"/>
      <c r="M373" s="57"/>
      <c r="N373" s="57"/>
      <c r="O373" s="57"/>
      <c r="P373" s="57"/>
    </row>
    <row r="374" spans="1:16" ht="19.5" hidden="1" x14ac:dyDescent="0.3">
      <c r="A374" s="353" t="s">
        <v>147</v>
      </c>
      <c r="B374" s="354"/>
      <c r="C374" s="354"/>
      <c r="D374" s="354"/>
      <c r="E374" s="355"/>
      <c r="F374" s="355"/>
      <c r="G374" s="355"/>
      <c r="H374" s="355"/>
      <c r="I374" s="356"/>
      <c r="J374" s="356"/>
      <c r="K374" s="357"/>
      <c r="L374" s="357"/>
      <c r="M374" s="357"/>
      <c r="N374" s="357"/>
      <c r="O374" s="357"/>
      <c r="P374" s="358"/>
    </row>
    <row r="375" spans="1:16" ht="19.5" hidden="1" x14ac:dyDescent="0.3">
      <c r="A375" s="359" t="s">
        <v>148</v>
      </c>
      <c r="B375" s="360"/>
      <c r="C375" s="360"/>
      <c r="D375" s="361"/>
      <c r="E375" s="360"/>
      <c r="F375" s="360"/>
      <c r="G375" s="360"/>
      <c r="H375" s="362"/>
      <c r="I375" s="363"/>
      <c r="J375" s="363"/>
      <c r="K375" s="364"/>
      <c r="L375" s="364"/>
      <c r="M375" s="364"/>
      <c r="N375" s="364"/>
      <c r="O375" s="364"/>
      <c r="P375" s="364"/>
    </row>
    <row r="376" spans="1:16" ht="19.5" hidden="1" x14ac:dyDescent="0.3">
      <c r="A376" s="365"/>
      <c r="B376" s="366" t="s">
        <v>149</v>
      </c>
      <c r="C376" s="367"/>
      <c r="D376" s="368"/>
      <c r="E376" s="368"/>
      <c r="F376" s="368"/>
      <c r="G376" s="369"/>
      <c r="H376" s="370" t="s">
        <v>54</v>
      </c>
      <c r="I376" s="371">
        <f>I388</f>
        <v>0</v>
      </c>
      <c r="J376" s="371">
        <f>J388</f>
        <v>0</v>
      </c>
      <c r="K376" s="372">
        <f>IF(I376&gt;0,J376*100/I376,0)</f>
        <v>0</v>
      </c>
      <c r="L376" s="373"/>
      <c r="M376" s="373"/>
      <c r="N376" s="373"/>
      <c r="O376" s="373"/>
      <c r="P376" s="373"/>
    </row>
    <row r="377" spans="1:16" ht="19.5" hidden="1" x14ac:dyDescent="0.3">
      <c r="A377" s="136"/>
      <c r="B377" s="41"/>
      <c r="C377" s="260" t="s">
        <v>16</v>
      </c>
      <c r="D377" s="261" t="s">
        <v>17</v>
      </c>
      <c r="E377" s="41"/>
      <c r="F377" s="41"/>
      <c r="G377" s="43"/>
      <c r="H377" s="277" t="s">
        <v>12</v>
      </c>
      <c r="I377" s="45"/>
      <c r="J377" s="45"/>
      <c r="K377" s="46"/>
      <c r="L377" s="263">
        <f ca="1">L378+L379</f>
        <v>0</v>
      </c>
      <c r="M377" s="263">
        <f ca="1">M378+M379</f>
        <v>0</v>
      </c>
      <c r="N377" s="263">
        <f ca="1">N378+N379</f>
        <v>0</v>
      </c>
      <c r="O377" s="263">
        <f ca="1">IF(L377&gt;0,N377*100/L377,0)</f>
        <v>0</v>
      </c>
      <c r="P377" s="263">
        <f ca="1">IF(M377&gt;0,N377*100/M377,0)</f>
        <v>0</v>
      </c>
    </row>
    <row r="378" spans="1:16" ht="18.75" hidden="1" x14ac:dyDescent="0.25">
      <c r="A378" s="136"/>
      <c r="B378" s="41"/>
      <c r="C378" s="41"/>
      <c r="D378" s="41"/>
      <c r="E378" s="279" t="s">
        <v>18</v>
      </c>
      <c r="F378" s="41"/>
      <c r="G378" s="43"/>
      <c r="H378" s="141" t="s">
        <v>12</v>
      </c>
      <c r="I378" s="45"/>
      <c r="J378" s="45"/>
      <c r="K378" s="46"/>
      <c r="L378" s="50">
        <f>L381+L384</f>
        <v>0</v>
      </c>
      <c r="M378" s="50">
        <f>M381+M384</f>
        <v>0</v>
      </c>
      <c r="N378" s="50">
        <f>N381+N384</f>
        <v>0</v>
      </c>
      <c r="O378" s="50">
        <f>IF(L378&gt;0,N378*100/L378,0)</f>
        <v>0</v>
      </c>
      <c r="P378" s="50">
        <f>IF(M378&gt;0,N378*100/M378,0)</f>
        <v>0</v>
      </c>
    </row>
    <row r="379" spans="1:16" ht="18.75" hidden="1" x14ac:dyDescent="0.25">
      <c r="A379" s="136"/>
      <c r="B379" s="41"/>
      <c r="C379" s="41"/>
      <c r="D379" s="41"/>
      <c r="E379" s="279" t="s">
        <v>19</v>
      </c>
      <c r="F379" s="41"/>
      <c r="G379" s="43"/>
      <c r="H379" s="141" t="s">
        <v>12</v>
      </c>
      <c r="I379" s="45"/>
      <c r="J379" s="45"/>
      <c r="K379" s="46"/>
      <c r="L379" s="50">
        <f ca="1">L382+L385</f>
        <v>0</v>
      </c>
      <c r="M379" s="50">
        <f ca="1">M382+M385</f>
        <v>0</v>
      </c>
      <c r="N379" s="50">
        <f ca="1">N382+N385</f>
        <v>0</v>
      </c>
      <c r="O379" s="50">
        <f ca="1">IF(L379&gt;0,N379*100/L379,0)</f>
        <v>0</v>
      </c>
      <c r="P379" s="50">
        <f ca="1">IF(M379&gt;0,N379*100/M379,0)</f>
        <v>0</v>
      </c>
    </row>
    <row r="380" spans="1:16" ht="18.75" hidden="1" x14ac:dyDescent="0.25">
      <c r="A380" s="136"/>
      <c r="B380" s="41"/>
      <c r="C380" s="41"/>
      <c r="D380" s="278" t="s">
        <v>20</v>
      </c>
      <c r="E380" s="41"/>
      <c r="F380" s="41"/>
      <c r="G380" s="43"/>
      <c r="H380" s="146" t="s">
        <v>12</v>
      </c>
      <c r="I380" s="144"/>
      <c r="J380" s="144"/>
      <c r="K380" s="145"/>
      <c r="L380" s="50">
        <f ca="1">L381+L382</f>
        <v>0</v>
      </c>
      <c r="M380" s="50">
        <f ca="1">M381+M382</f>
        <v>0</v>
      </c>
      <c r="N380" s="50">
        <f ca="1">N381+N382</f>
        <v>0</v>
      </c>
      <c r="O380" s="50">
        <f ca="1">IF(L380&gt;0,N380*100/L380,0)</f>
        <v>0</v>
      </c>
      <c r="P380" s="50">
        <f ca="1">IF(M380&gt;0,N380*100/M380,0)</f>
        <v>0</v>
      </c>
    </row>
    <row r="381" spans="1:16" ht="18.75" hidden="1" x14ac:dyDescent="0.25">
      <c r="A381" s="136"/>
      <c r="B381" s="41"/>
      <c r="C381" s="41"/>
      <c r="D381" s="41"/>
      <c r="E381" s="279" t="s">
        <v>34</v>
      </c>
      <c r="F381" s="41"/>
      <c r="G381" s="43"/>
      <c r="H381" s="146" t="s">
        <v>12</v>
      </c>
      <c r="I381" s="144"/>
      <c r="J381" s="144"/>
      <c r="K381" s="145"/>
      <c r="L381" s="50">
        <v>0</v>
      </c>
      <c r="M381" s="50">
        <v>0</v>
      </c>
      <c r="N381" s="50">
        <v>0</v>
      </c>
      <c r="O381" s="50">
        <f>IF(L381&gt;0,N381*100/L381,0)</f>
        <v>0</v>
      </c>
      <c r="P381" s="50">
        <f>IF(M381&gt;0,N381*100/M381,0)</f>
        <v>0</v>
      </c>
    </row>
    <row r="382" spans="1:16" ht="18.75" hidden="1" x14ac:dyDescent="0.25">
      <c r="A382" s="136"/>
      <c r="B382" s="41"/>
      <c r="C382" s="41"/>
      <c r="D382" s="41"/>
      <c r="E382" s="279" t="s">
        <v>35</v>
      </c>
      <c r="F382" s="41"/>
      <c r="G382" s="43"/>
      <c r="H382" s="146" t="s">
        <v>12</v>
      </c>
      <c r="I382" s="144"/>
      <c r="J382" s="144"/>
      <c r="K382" s="145"/>
      <c r="L382" s="50">
        <f ca="1">IFERROR(__xludf.DUMMYFUNCTION("IMPORTRANGE(""https://docs.google.com/spreadsheets/d/1-uDff_7J0KD5mKrp0Vvzr7lt3OU09vwQwhkpOPPYv2Y/edit?usp=sharing"",""งบพรบ!FM21"")"),0)</f>
        <v>0</v>
      </c>
      <c r="M382" s="50">
        <f ca="1">IFERROR(__xludf.DUMMYFUNCTION("IMPORTRANGE(""https://docs.google.com/spreadsheets/d/1-uDff_7J0KD5mKrp0Vvzr7lt3OU09vwQwhkpOPPYv2Y/edit?usp=sharing"",""งบพรบ!FR21"")"),0)</f>
        <v>0</v>
      </c>
      <c r="N382" s="50">
        <f ca="1">IFERROR(__xludf.DUMMYFUNCTION("IMPORTRANGE(""https://docs.google.com/spreadsheets/d/1-uDff_7J0KD5mKrp0Vvzr7lt3OU09vwQwhkpOPPYv2Y/edit?usp=sharing"",""งบพรบ!FT21"")"),0)</f>
        <v>0</v>
      </c>
      <c r="O382" s="50">
        <f ca="1">IF(L382&gt;0,N382*100/L382,0)</f>
        <v>0</v>
      </c>
      <c r="P382" s="50">
        <f ca="1">IF(M382&gt;0,N382*100/M382,0)</f>
        <v>0</v>
      </c>
    </row>
    <row r="383" spans="1:16" ht="18.75" hidden="1" x14ac:dyDescent="0.25">
      <c r="A383" s="136"/>
      <c r="B383" s="41"/>
      <c r="C383" s="41"/>
      <c r="D383" s="278" t="s">
        <v>21</v>
      </c>
      <c r="E383" s="41"/>
      <c r="F383" s="41"/>
      <c r="G383" s="43"/>
      <c r="H383" s="199" t="s">
        <v>12</v>
      </c>
      <c r="I383" s="144"/>
      <c r="J383" s="144"/>
      <c r="K383" s="145"/>
      <c r="L383" s="50">
        <f ca="1">L384+L385</f>
        <v>0</v>
      </c>
      <c r="M383" s="50">
        <f ca="1">M384+M385</f>
        <v>0</v>
      </c>
      <c r="N383" s="50">
        <f ca="1">N384+N385</f>
        <v>0</v>
      </c>
      <c r="O383" s="50">
        <f ca="1">IF(L383&gt;0,N383*100/L383,0)</f>
        <v>0</v>
      </c>
      <c r="P383" s="50">
        <f ca="1">IF(M383&gt;0,N383*100/M383,0)</f>
        <v>0</v>
      </c>
    </row>
    <row r="384" spans="1:16" ht="18.75" hidden="1" x14ac:dyDescent="0.25">
      <c r="A384" s="136"/>
      <c r="B384" s="41"/>
      <c r="C384" s="41"/>
      <c r="D384" s="41"/>
      <c r="E384" s="279" t="s">
        <v>18</v>
      </c>
      <c r="F384" s="41"/>
      <c r="G384" s="43"/>
      <c r="H384" s="146" t="s">
        <v>12</v>
      </c>
      <c r="I384" s="144"/>
      <c r="J384" s="144"/>
      <c r="K384" s="145"/>
      <c r="L384" s="50">
        <v>0</v>
      </c>
      <c r="M384" s="50">
        <v>0</v>
      </c>
      <c r="N384" s="50">
        <v>0</v>
      </c>
      <c r="O384" s="50">
        <f>IF(L384&gt;0,N384*100/L384,0)</f>
        <v>0</v>
      </c>
      <c r="P384" s="50">
        <f>IF(M384&gt;0,N384*100/M384,0)</f>
        <v>0</v>
      </c>
    </row>
    <row r="385" spans="1:16" ht="18.75" hidden="1" x14ac:dyDescent="0.25">
      <c r="A385" s="136"/>
      <c r="B385" s="41"/>
      <c r="C385" s="41"/>
      <c r="D385" s="41"/>
      <c r="E385" s="279" t="s">
        <v>19</v>
      </c>
      <c r="F385" s="41"/>
      <c r="G385" s="43"/>
      <c r="H385" s="199" t="s">
        <v>12</v>
      </c>
      <c r="I385" s="144"/>
      <c r="J385" s="144"/>
      <c r="K385" s="145"/>
      <c r="L385" s="50">
        <f ca="1">IFERROR(__xludf.DUMMYFUNCTION("IMPORTRANGE(""https://docs.google.com/spreadsheets/d/1-uDff_7J0KD5mKrp0Vvzr7lt3OU09vwQwhkpOPPYv2Y/edit?usp=sharing"",""งบพรบ!FP21"")"),0)</f>
        <v>0</v>
      </c>
      <c r="M385" s="50">
        <f ca="1">IFERROR(__xludf.DUMMYFUNCTION("IMPORTRANGE(""https://docs.google.com/spreadsheets/d/1-uDff_7J0KD5mKrp0Vvzr7lt3OU09vwQwhkpOPPYv2Y/edit?usp=sharing"",""งบพรบ!FS21"")"),0)</f>
        <v>0</v>
      </c>
      <c r="N385" s="50">
        <f ca="1">IFERROR(__xludf.DUMMYFUNCTION("IMPORTRANGE(""https://docs.google.com/spreadsheets/d/1-uDff_7J0KD5mKrp0Vvzr7lt3OU09vwQwhkpOPPYv2Y/edit?usp=sharing"",""งบพรบ!FU21"")"),0)</f>
        <v>0</v>
      </c>
      <c r="O385" s="50">
        <f ca="1">IF(L385&gt;0,N385*100/L385,0)</f>
        <v>0</v>
      </c>
      <c r="P385" s="50">
        <f ca="1">IF(M385&gt;0,N385*100/M385,0)</f>
        <v>0</v>
      </c>
    </row>
    <row r="386" spans="1:16" ht="19.5" hidden="1" x14ac:dyDescent="0.3">
      <c r="A386" s="148"/>
      <c r="B386" s="149"/>
      <c r="C386" s="260" t="s">
        <v>16</v>
      </c>
      <c r="D386" s="394" t="s">
        <v>36</v>
      </c>
      <c r="E386" s="151"/>
      <c r="F386" s="151"/>
      <c r="G386" s="152"/>
      <c r="H386" s="153"/>
      <c r="I386" s="144"/>
      <c r="J386" s="45"/>
      <c r="K386" s="46"/>
      <c r="L386" s="46"/>
      <c r="M386" s="46"/>
      <c r="N386" s="46"/>
      <c r="O386" s="145"/>
      <c r="P386" s="145"/>
    </row>
    <row r="387" spans="1:16" ht="18.75" hidden="1" x14ac:dyDescent="0.25">
      <c r="A387" s="227"/>
      <c r="B387" s="41"/>
      <c r="C387" s="228"/>
      <c r="D387" s="267" t="s">
        <v>150</v>
      </c>
      <c r="E387" s="149"/>
      <c r="F387" s="41"/>
      <c r="G387" s="43"/>
      <c r="H387" s="232" t="s">
        <v>9</v>
      </c>
      <c r="I387" s="200">
        <v>0</v>
      </c>
      <c r="J387" s="201">
        <v>0</v>
      </c>
      <c r="K387" s="50">
        <f>IF(I387&gt;0,J387*100/I387,0)</f>
        <v>0</v>
      </c>
      <c r="L387" s="46"/>
      <c r="M387" s="46"/>
      <c r="N387" s="46"/>
      <c r="O387" s="46"/>
      <c r="P387" s="46"/>
    </row>
    <row r="388" spans="1:16" ht="18.75" hidden="1" x14ac:dyDescent="0.25">
      <c r="A388" s="374"/>
      <c r="B388" s="1"/>
      <c r="C388" s="2"/>
      <c r="D388" s="375" t="s">
        <v>151</v>
      </c>
      <c r="E388" s="281"/>
      <c r="F388" s="1"/>
      <c r="G388" s="54"/>
      <c r="H388" s="376" t="s">
        <v>54</v>
      </c>
      <c r="I388" s="205">
        <v>0</v>
      </c>
      <c r="J388" s="206">
        <v>0</v>
      </c>
      <c r="K388" s="207">
        <f>IF(I388&gt;0,J388*100/I388,0)</f>
        <v>0</v>
      </c>
      <c r="L388" s="57"/>
      <c r="M388" s="57"/>
      <c r="N388" s="57"/>
      <c r="O388" s="57"/>
      <c r="P388" s="57"/>
    </row>
    <row r="389" spans="1:16" ht="12.75" hidden="1" x14ac:dyDescent="0.2">
      <c r="A389" s="168"/>
      <c r="B389" s="168"/>
      <c r="C389" s="168"/>
      <c r="D389" s="168"/>
      <c r="E389" s="168"/>
      <c r="F389" s="168"/>
      <c r="G389" s="168"/>
      <c r="H389" s="168"/>
      <c r="I389" s="168"/>
      <c r="J389" s="168"/>
      <c r="K389" s="168"/>
      <c r="L389" s="168"/>
      <c r="M389" s="168"/>
      <c r="N389" s="168"/>
      <c r="O389" s="168"/>
      <c r="P389" s="168"/>
    </row>
    <row r="390" spans="1:16" ht="16.5" x14ac:dyDescent="0.25">
      <c r="A390" s="377" t="s">
        <v>152</v>
      </c>
      <c r="B390" s="168"/>
      <c r="C390" s="168"/>
      <c r="D390" s="168"/>
      <c r="E390" s="168"/>
      <c r="F390" s="168"/>
      <c r="G390" s="168"/>
      <c r="H390" s="168"/>
      <c r="I390" s="168"/>
      <c r="J390" s="168"/>
      <c r="K390" s="168"/>
      <c r="L390" s="168"/>
      <c r="M390" s="168"/>
      <c r="N390" s="168"/>
      <c r="O390" s="168"/>
      <c r="P390" s="168"/>
    </row>
    <row r="391" spans="1:16" ht="16.5" x14ac:dyDescent="0.25">
      <c r="A391" s="377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8"/>
      <c r="C391" s="168"/>
      <c r="D391" s="168"/>
      <c r="E391" s="168"/>
      <c r="F391" s="168"/>
      <c r="G391" s="168"/>
      <c r="H391" s="168"/>
      <c r="I391" s="168"/>
      <c r="J391" s="168"/>
      <c r="K391" s="168"/>
      <c r="L391" s="168"/>
      <c r="M391" s="168"/>
      <c r="N391" s="168"/>
      <c r="O391" s="168"/>
      <c r="P391" s="16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2" orientation="portrait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AB49-FF5B-4C70-8543-C1F3CCAABCB9}">
  <sheetPr>
    <outlinePr summaryBelow="0" summaryRight="0"/>
  </sheetPr>
  <dimension ref="A1:P391"/>
  <sheetViews>
    <sheetView view="pageBreakPreview" zoomScale="60" zoomScaleNormal="68" workbookViewId="0">
      <pane xSplit="8" ySplit="6" topLeftCell="I7" activePane="bottomRight" state="frozen"/>
      <selection activeCell="P44" sqref="P44"/>
      <selection pane="topRight" activeCell="P44" sqref="P44"/>
      <selection pane="bottomLeft" activeCell="P44" sqref="P44"/>
      <selection pane="bottomRight" activeCell="P44" sqref="P4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3" width="21.5703125" bestFit="1" customWidth="1"/>
    <col min="14" max="14" width="19" bestFit="1" customWidth="1"/>
    <col min="15" max="15" width="17.5703125" customWidth="1"/>
    <col min="16" max="16" width="22.42578125" bestFit="1" customWidth="1"/>
  </cols>
  <sheetData>
    <row r="1" spans="1:16" ht="19.5" x14ac:dyDescent="0.3">
      <c r="A1" s="386" t="s">
        <v>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</row>
    <row r="2" spans="1:16" ht="19.5" x14ac:dyDescent="0.3">
      <c r="A2" s="386" t="s">
        <v>165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</row>
    <row r="3" spans="1:16" ht="19.5" x14ac:dyDescent="0.3">
      <c r="A3" s="386" t="s">
        <v>175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388" t="s">
        <v>2</v>
      </c>
      <c r="B5" s="387"/>
      <c r="C5" s="387"/>
      <c r="D5" s="387"/>
      <c r="E5" s="387"/>
      <c r="F5" s="387"/>
      <c r="G5" s="389"/>
      <c r="H5" s="4" t="s">
        <v>3</v>
      </c>
      <c r="I5" s="391" t="s">
        <v>4</v>
      </c>
      <c r="J5" s="379"/>
      <c r="K5" s="380"/>
      <c r="L5" s="392" t="s">
        <v>5</v>
      </c>
      <c r="M5" s="380"/>
      <c r="N5" s="393" t="s">
        <v>6</v>
      </c>
      <c r="O5" s="379"/>
      <c r="P5" s="380"/>
    </row>
    <row r="6" spans="1:16" ht="19.5" x14ac:dyDescent="0.3">
      <c r="A6" s="390"/>
      <c r="B6" s="379"/>
      <c r="C6" s="379"/>
      <c r="D6" s="379"/>
      <c r="E6" s="379"/>
      <c r="F6" s="379"/>
      <c r="G6" s="380"/>
      <c r="H6" s="5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466" t="s">
        <v>14</v>
      </c>
    </row>
    <row r="7" spans="1:16" ht="12.75" hidden="1" x14ac:dyDescent="0.2">
      <c r="A7" s="381"/>
      <c r="B7" s="379"/>
      <c r="C7" s="379"/>
      <c r="D7" s="379"/>
      <c r="E7" s="379"/>
      <c r="F7" s="379"/>
      <c r="G7" s="380"/>
      <c r="H7" s="12"/>
      <c r="I7" s="13"/>
      <c r="J7" s="13"/>
      <c r="K7" s="14"/>
      <c r="L7" s="14"/>
      <c r="M7" s="14"/>
      <c r="N7" s="14"/>
      <c r="O7" s="14"/>
      <c r="P7" s="14"/>
    </row>
    <row r="8" spans="1:16" ht="12.75" hidden="1" x14ac:dyDescent="0.2">
      <c r="A8" s="15"/>
      <c r="B8" s="16"/>
      <c r="C8" s="16"/>
      <c r="D8" s="16"/>
      <c r="E8" s="16"/>
      <c r="F8" s="16"/>
      <c r="G8" s="17"/>
      <c r="H8" s="17"/>
      <c r="I8" s="18"/>
      <c r="J8" s="18"/>
      <c r="K8" s="19"/>
      <c r="L8" s="19"/>
      <c r="M8" s="19"/>
      <c r="N8" s="19"/>
      <c r="O8" s="19"/>
      <c r="P8" s="19"/>
    </row>
    <row r="9" spans="1:16" ht="12.75" hidden="1" x14ac:dyDescent="0.2">
      <c r="A9" s="15"/>
      <c r="B9" s="16"/>
      <c r="C9" s="16"/>
      <c r="D9" s="16"/>
      <c r="E9" s="16"/>
      <c r="F9" s="16"/>
      <c r="G9" s="17"/>
      <c r="H9" s="17"/>
      <c r="I9" s="18"/>
      <c r="J9" s="18"/>
      <c r="K9" s="19"/>
      <c r="L9" s="19"/>
      <c r="M9" s="19"/>
      <c r="N9" s="19"/>
      <c r="O9" s="19"/>
      <c r="P9" s="19"/>
    </row>
    <row r="10" spans="1:16" ht="12.75" hidden="1" x14ac:dyDescent="0.2">
      <c r="A10" s="15"/>
      <c r="B10" s="16"/>
      <c r="C10" s="16"/>
      <c r="D10" s="16"/>
      <c r="E10" s="16"/>
      <c r="F10" s="16"/>
      <c r="G10" s="17"/>
      <c r="H10" s="17"/>
      <c r="I10" s="18"/>
      <c r="J10" s="18"/>
      <c r="K10" s="19"/>
      <c r="L10" s="19"/>
      <c r="M10" s="19"/>
      <c r="N10" s="19"/>
      <c r="O10" s="19"/>
      <c r="P10" s="19"/>
    </row>
    <row r="11" spans="1:16" ht="12.75" hidden="1" x14ac:dyDescent="0.2">
      <c r="A11" s="15"/>
      <c r="B11" s="16"/>
      <c r="C11" s="16"/>
      <c r="D11" s="16"/>
      <c r="E11" s="16"/>
      <c r="F11" s="16"/>
      <c r="G11" s="17"/>
      <c r="H11" s="17"/>
      <c r="I11" s="18"/>
      <c r="J11" s="18"/>
      <c r="K11" s="19"/>
      <c r="L11" s="19"/>
      <c r="M11" s="19"/>
      <c r="N11" s="19"/>
      <c r="O11" s="19"/>
      <c r="P11" s="19"/>
    </row>
    <row r="12" spans="1:16" ht="12.75" hidden="1" x14ac:dyDescent="0.2">
      <c r="A12" s="15"/>
      <c r="B12" s="16"/>
      <c r="C12" s="16"/>
      <c r="D12" s="16"/>
      <c r="E12" s="16"/>
      <c r="F12" s="16"/>
      <c r="G12" s="17"/>
      <c r="H12" s="17"/>
      <c r="I12" s="18"/>
      <c r="J12" s="18"/>
      <c r="K12" s="19"/>
      <c r="L12" s="19"/>
      <c r="M12" s="19"/>
      <c r="N12" s="19"/>
      <c r="O12" s="19"/>
      <c r="P12" s="19"/>
    </row>
    <row r="13" spans="1:16" ht="12.75" hidden="1" x14ac:dyDescent="0.2">
      <c r="A13" s="15"/>
      <c r="B13" s="16"/>
      <c r="C13" s="16"/>
      <c r="D13" s="16"/>
      <c r="E13" s="16"/>
      <c r="F13" s="16"/>
      <c r="G13" s="17"/>
      <c r="H13" s="17"/>
      <c r="I13" s="18"/>
      <c r="J13" s="18"/>
      <c r="K13" s="19"/>
      <c r="L13" s="19"/>
      <c r="M13" s="19"/>
      <c r="N13" s="19"/>
      <c r="O13" s="19"/>
      <c r="P13" s="19"/>
    </row>
    <row r="14" spans="1:16" ht="12.75" hidden="1" x14ac:dyDescent="0.2">
      <c r="A14" s="15"/>
      <c r="B14" s="16"/>
      <c r="C14" s="16"/>
      <c r="D14" s="16"/>
      <c r="E14" s="16"/>
      <c r="F14" s="16"/>
      <c r="G14" s="17"/>
      <c r="H14" s="17"/>
      <c r="I14" s="18"/>
      <c r="J14" s="18"/>
      <c r="K14" s="19"/>
      <c r="L14" s="19"/>
      <c r="M14" s="19"/>
      <c r="N14" s="19"/>
      <c r="O14" s="19"/>
      <c r="P14" s="19"/>
    </row>
    <row r="15" spans="1:16" ht="12.75" hidden="1" x14ac:dyDescent="0.2">
      <c r="A15" s="15"/>
      <c r="B15" s="16"/>
      <c r="C15" s="16"/>
      <c r="D15" s="16"/>
      <c r="E15" s="16"/>
      <c r="F15" s="16"/>
      <c r="G15" s="17"/>
      <c r="H15" s="17"/>
      <c r="I15" s="18"/>
      <c r="J15" s="18"/>
      <c r="K15" s="19"/>
      <c r="L15" s="19"/>
      <c r="M15" s="19"/>
      <c r="N15" s="19"/>
      <c r="O15" s="19"/>
      <c r="P15" s="19"/>
    </row>
    <row r="16" spans="1:16" ht="12.75" hidden="1" x14ac:dyDescent="0.2">
      <c r="A16" s="20"/>
      <c r="B16" s="21"/>
      <c r="C16" s="21"/>
      <c r="D16" s="21"/>
      <c r="E16" s="21"/>
      <c r="F16" s="21"/>
      <c r="G16" s="12"/>
      <c r="H16" s="12"/>
      <c r="I16" s="13"/>
      <c r="J16" s="13"/>
      <c r="K16" s="14"/>
      <c r="L16" s="14"/>
      <c r="M16" s="14"/>
      <c r="N16" s="14"/>
      <c r="O16" s="14"/>
      <c r="P16" s="14"/>
    </row>
    <row r="17" spans="1:16" ht="19.5" x14ac:dyDescent="0.3">
      <c r="A17" s="378" t="s">
        <v>15</v>
      </c>
      <c r="B17" s="379"/>
      <c r="C17" s="379"/>
      <c r="D17" s="379"/>
      <c r="E17" s="379"/>
      <c r="F17" s="379"/>
      <c r="G17" s="380"/>
      <c r="H17" s="22"/>
      <c r="I17" s="23"/>
      <c r="J17" s="23"/>
      <c r="K17" s="24"/>
      <c r="L17" s="24"/>
      <c r="M17" s="24"/>
      <c r="N17" s="24"/>
      <c r="O17" s="24"/>
      <c r="P17" s="24"/>
    </row>
    <row r="18" spans="1:16" ht="19.5" x14ac:dyDescent="0.3">
      <c r="A18" s="25"/>
      <c r="B18" s="26"/>
      <c r="C18" s="132" t="s">
        <v>16</v>
      </c>
      <c r="D18" s="28" t="s">
        <v>17</v>
      </c>
      <c r="E18" s="26"/>
      <c r="F18" s="26"/>
      <c r="G18" s="29"/>
      <c r="H18" s="30" t="s">
        <v>12</v>
      </c>
      <c r="I18" s="31"/>
      <c r="J18" s="31"/>
      <c r="K18" s="32"/>
      <c r="L18" s="33">
        <f ca="1">L19+L20</f>
        <v>1901015</v>
      </c>
      <c r="M18" s="33">
        <f ca="1">M19+M20</f>
        <v>1519075</v>
      </c>
      <c r="N18" s="33">
        <f ca="1">N19+N20</f>
        <v>560878.92999999993</v>
      </c>
      <c r="O18" s="33">
        <f ca="1">IF(L18&gt;0,N18*100/L18,0)</f>
        <v>29.50418223948785</v>
      </c>
      <c r="P18" s="33">
        <f ca="1">IF(M18&gt;0,N18*100/M18,0)</f>
        <v>36.922398828234286</v>
      </c>
    </row>
    <row r="19" spans="1:16" ht="18.75" hidden="1" x14ac:dyDescent="0.25">
      <c r="A19" s="25"/>
      <c r="B19" s="26"/>
      <c r="C19" s="26"/>
      <c r="D19" s="26"/>
      <c r="E19" s="34" t="s">
        <v>18</v>
      </c>
      <c r="F19" s="26"/>
      <c r="G19" s="29"/>
      <c r="H19" s="35" t="s">
        <v>12</v>
      </c>
      <c r="I19" s="31"/>
      <c r="J19" s="31"/>
      <c r="K19" s="32"/>
      <c r="L19" s="36">
        <f>L22+L25</f>
        <v>0</v>
      </c>
      <c r="M19" s="36">
        <f>M22+M25</f>
        <v>0</v>
      </c>
      <c r="N19" s="36">
        <f>N22+N25</f>
        <v>0</v>
      </c>
      <c r="O19" s="36">
        <f>IF(L19&gt;0,N19*100/L19,0)</f>
        <v>0</v>
      </c>
      <c r="P19" s="36">
        <f>IF(M19&gt;0,N19*100/M19,0)</f>
        <v>0</v>
      </c>
    </row>
    <row r="20" spans="1:16" ht="18.75" x14ac:dyDescent="0.25">
      <c r="A20" s="25"/>
      <c r="B20" s="26"/>
      <c r="C20" s="26"/>
      <c r="D20" s="26"/>
      <c r="E20" s="37" t="s">
        <v>19</v>
      </c>
      <c r="F20" s="26"/>
      <c r="G20" s="29"/>
      <c r="H20" s="38" t="s">
        <v>12</v>
      </c>
      <c r="I20" s="31"/>
      <c r="J20" s="31"/>
      <c r="K20" s="32"/>
      <c r="L20" s="39">
        <f ca="1">L23+L26</f>
        <v>1901015</v>
      </c>
      <c r="M20" s="39">
        <f ca="1">M23+M26</f>
        <v>1519075</v>
      </c>
      <c r="N20" s="39">
        <f ca="1">N23+N26</f>
        <v>560878.92999999993</v>
      </c>
      <c r="O20" s="39">
        <f ca="1">IF(L20&gt;0,N20*100/L20,0)</f>
        <v>29.50418223948785</v>
      </c>
      <c r="P20" s="39">
        <f ca="1">IF(M20&gt;0,N20*100/M20,0)</f>
        <v>36.922398828234286</v>
      </c>
    </row>
    <row r="21" spans="1:16" ht="18.75" x14ac:dyDescent="0.25">
      <c r="A21" s="40"/>
      <c r="B21" s="41"/>
      <c r="C21" s="41"/>
      <c r="D21" s="42" t="s">
        <v>20</v>
      </c>
      <c r="E21" s="41"/>
      <c r="F21" s="41"/>
      <c r="G21" s="43"/>
      <c r="H21" s="44" t="s">
        <v>12</v>
      </c>
      <c r="I21" s="45"/>
      <c r="J21" s="45"/>
      <c r="K21" s="46"/>
      <c r="L21" s="47">
        <f ca="1">L22+L23</f>
        <v>1901015</v>
      </c>
      <c r="M21" s="47">
        <f ca="1">M22+M23</f>
        <v>1519075</v>
      </c>
      <c r="N21" s="47">
        <f ca="1">N22+N23</f>
        <v>560878.92999999993</v>
      </c>
      <c r="O21" s="47">
        <f ca="1">IF(L21&gt;0,N21*100/L21,0)</f>
        <v>29.50418223948785</v>
      </c>
      <c r="P21" s="47">
        <f ca="1">IF(M21&gt;0,N21*100/M21,0)</f>
        <v>36.922398828234286</v>
      </c>
    </row>
    <row r="22" spans="1:16" ht="18.75" hidden="1" x14ac:dyDescent="0.25">
      <c r="A22" s="40"/>
      <c r="B22" s="41"/>
      <c r="C22" s="41"/>
      <c r="D22" s="41"/>
      <c r="E22" s="279" t="s">
        <v>18</v>
      </c>
      <c r="F22" s="41"/>
      <c r="G22" s="43"/>
      <c r="H22" s="49" t="s">
        <v>12</v>
      </c>
      <c r="I22" s="45"/>
      <c r="J22" s="45"/>
      <c r="K22" s="46"/>
      <c r="L22" s="50">
        <f>L48+L63+L76+L98+L129+L143+L161+L190+L177+L270+L286+L307+L324+L337+L360+L381</f>
        <v>0</v>
      </c>
      <c r="M22" s="50">
        <f>M48+M63+M76+M98+M129+M143+M161+M190+M177+M270+M286+M307+M324+M337+M360+M381</f>
        <v>0</v>
      </c>
      <c r="N22" s="50">
        <f>N48+N63+N76+N98+N129+N143+N161+N190+N177+N270+N286+N307+N324+N337+N360+N381</f>
        <v>0</v>
      </c>
      <c r="O22" s="50">
        <f>IF(L22&gt;0,N22*100/L22,0)</f>
        <v>0</v>
      </c>
      <c r="P22" s="50">
        <f>IF(M22&gt;0,N22*100/M22,0)</f>
        <v>0</v>
      </c>
    </row>
    <row r="23" spans="1:16" ht="18.75" x14ac:dyDescent="0.25">
      <c r="A23" s="40"/>
      <c r="B23" s="41"/>
      <c r="C23" s="41"/>
      <c r="D23" s="41"/>
      <c r="E23" s="254" t="s">
        <v>19</v>
      </c>
      <c r="F23" s="41"/>
      <c r="G23" s="43"/>
      <c r="H23" s="44" t="s">
        <v>12</v>
      </c>
      <c r="I23" s="45"/>
      <c r="J23" s="45"/>
      <c r="K23" s="46"/>
      <c r="L23" s="47">
        <f ca="1">L49+L64+L77+L99+L130+L144+L162+L191+L178+L271+L287+L308+L325+L338+L361+L382</f>
        <v>1901015</v>
      </c>
      <c r="M23" s="47">
        <f ca="1">M49+M64+M77+M99+M130+M144+M162+M191+M178+M271+M287+M308+M325+M338+M361+M382</f>
        <v>1519075</v>
      </c>
      <c r="N23" s="47">
        <f ca="1">N49+N64+N77+N99+N130+N144+N162+N191+N178+N271+N287+N308+N325+N338+N361+N382</f>
        <v>560878.92999999993</v>
      </c>
      <c r="O23" s="47">
        <f ca="1">IF(L23&gt;0,N23*100/L23,0)</f>
        <v>29.50418223948785</v>
      </c>
      <c r="P23" s="47">
        <f ca="1">IF(M23&gt;0,N23*100/M23,0)</f>
        <v>36.922398828234286</v>
      </c>
    </row>
    <row r="24" spans="1:16" ht="18.75" x14ac:dyDescent="0.25">
      <c r="A24" s="40"/>
      <c r="B24" s="41"/>
      <c r="C24" s="41"/>
      <c r="D24" s="42" t="s">
        <v>21</v>
      </c>
      <c r="E24" s="41"/>
      <c r="F24" s="41"/>
      <c r="G24" s="43"/>
      <c r="H24" s="44" t="s">
        <v>12</v>
      </c>
      <c r="I24" s="45"/>
      <c r="J24" s="45"/>
      <c r="K24" s="46"/>
      <c r="L24" s="47">
        <f ca="1">L25+L26</f>
        <v>0</v>
      </c>
      <c r="M24" s="47">
        <f ca="1">M25+M26</f>
        <v>0</v>
      </c>
      <c r="N24" s="47">
        <f ca="1">N25+N26</f>
        <v>0</v>
      </c>
      <c r="O24" s="47">
        <f ca="1">IF(L24&gt;0,N24*100/L24,0)</f>
        <v>0</v>
      </c>
      <c r="P24" s="47">
        <f ca="1">IF(M24&gt;0,N24*100/M24,0)</f>
        <v>0</v>
      </c>
    </row>
    <row r="25" spans="1:16" ht="18.75" hidden="1" x14ac:dyDescent="0.25">
      <c r="A25" s="40"/>
      <c r="B25" s="41"/>
      <c r="C25" s="41"/>
      <c r="D25" s="41"/>
      <c r="E25" s="279" t="s">
        <v>18</v>
      </c>
      <c r="F25" s="41"/>
      <c r="G25" s="43"/>
      <c r="H25" s="49" t="s">
        <v>12</v>
      </c>
      <c r="I25" s="45"/>
      <c r="J25" s="45"/>
      <c r="K25" s="46"/>
      <c r="L25" s="50">
        <f>L51+L66+L79+L101+L132+L146+L164+L193+L180+L273+L289+L310+L327+L340+L363+L384</f>
        <v>0</v>
      </c>
      <c r="M25" s="50">
        <f>M51+M66+M79+M101+M132+M146+M164+M193+M180+M273+M289+M310+M327+M340+M363+M384</f>
        <v>0</v>
      </c>
      <c r="N25" s="50">
        <f>N51+N66+N79+N101+N132+N146+N164+N193+N180+N273+N289+N310+N327+N340+N363+N384</f>
        <v>0</v>
      </c>
      <c r="O25" s="50">
        <f>IF(L25&gt;0,N25*100/L25,0)</f>
        <v>0</v>
      </c>
      <c r="P25" s="50">
        <f>IF(M25&gt;0,N25*100/M25,0)</f>
        <v>0</v>
      </c>
    </row>
    <row r="26" spans="1:16" ht="18.75" x14ac:dyDescent="0.25">
      <c r="A26" s="40"/>
      <c r="B26" s="41"/>
      <c r="C26" s="41"/>
      <c r="D26" s="41"/>
      <c r="E26" s="254" t="s">
        <v>19</v>
      </c>
      <c r="F26" s="41"/>
      <c r="G26" s="43"/>
      <c r="H26" s="44" t="s">
        <v>12</v>
      </c>
      <c r="I26" s="45"/>
      <c r="J26" s="45"/>
      <c r="K26" s="46"/>
      <c r="L26" s="47">
        <f ca="1">L52+L67+L80+L102+L133+L147+L165+L194+L181+L274+L290+L311+L328+L341+L364+L385</f>
        <v>0</v>
      </c>
      <c r="M26" s="47">
        <f ca="1">M52+M67+M80+M102+M133+M147+M165+M194+M181+M274+M290+M311+M328+M341+M364+M385</f>
        <v>0</v>
      </c>
      <c r="N26" s="47">
        <f ca="1">N52+N67+N80+N102+N133+N147+N165+N194+N181+N274+N290+N311+N328+N341+N364+N385</f>
        <v>0</v>
      </c>
      <c r="O26" s="47">
        <f ca="1">IF(L26&gt;0,N26*100/L26,0)</f>
        <v>0</v>
      </c>
      <c r="P26" s="47">
        <f ca="1">IF(M26&gt;0,N26*100/M26,0)</f>
        <v>0</v>
      </c>
    </row>
    <row r="27" spans="1:16" ht="18.75" hidden="1" x14ac:dyDescent="0.25">
      <c r="A27" s="40"/>
      <c r="B27" s="41"/>
      <c r="C27" s="41"/>
      <c r="D27" s="42" t="s">
        <v>22</v>
      </c>
      <c r="E27" s="41"/>
      <c r="F27" s="41"/>
      <c r="G27" s="43"/>
      <c r="H27" s="44" t="s">
        <v>12</v>
      </c>
      <c r="I27" s="45"/>
      <c r="J27" s="45"/>
      <c r="K27" s="46"/>
      <c r="L27" s="47"/>
      <c r="M27" s="47"/>
      <c r="N27" s="47"/>
      <c r="O27" s="47"/>
      <c r="P27" s="47"/>
    </row>
    <row r="28" spans="1:16" ht="18.75" hidden="1" x14ac:dyDescent="0.25">
      <c r="A28" s="40"/>
      <c r="B28" s="41"/>
      <c r="C28" s="41"/>
      <c r="D28" s="41"/>
      <c r="E28" s="279" t="s">
        <v>18</v>
      </c>
      <c r="F28" s="41"/>
      <c r="G28" s="43"/>
      <c r="H28" s="49" t="s">
        <v>12</v>
      </c>
      <c r="I28" s="45"/>
      <c r="J28" s="45"/>
      <c r="K28" s="46"/>
      <c r="L28" s="50"/>
      <c r="M28" s="50"/>
      <c r="N28" s="50"/>
      <c r="O28" s="50"/>
      <c r="P28" s="50"/>
    </row>
    <row r="29" spans="1:16" ht="18.75" hidden="1" x14ac:dyDescent="0.25">
      <c r="A29" s="52"/>
      <c r="B29" s="1"/>
      <c r="C29" s="1"/>
      <c r="D29" s="1"/>
      <c r="E29" s="53" t="s">
        <v>19</v>
      </c>
      <c r="F29" s="1"/>
      <c r="G29" s="54"/>
      <c r="H29" s="55" t="s">
        <v>12</v>
      </c>
      <c r="I29" s="56"/>
      <c r="J29" s="56"/>
      <c r="K29" s="57"/>
      <c r="L29" s="58"/>
      <c r="M29" s="58"/>
      <c r="N29" s="58"/>
      <c r="O29" s="58"/>
      <c r="P29" s="58"/>
    </row>
    <row r="30" spans="1:16" ht="12.75" hidden="1" x14ac:dyDescent="0.2">
      <c r="A30" s="381"/>
      <c r="B30" s="379"/>
      <c r="C30" s="379"/>
      <c r="D30" s="379"/>
      <c r="E30" s="379"/>
      <c r="F30" s="379"/>
      <c r="G30" s="380"/>
      <c r="H30" s="12"/>
      <c r="I30" s="13"/>
      <c r="J30" s="13"/>
      <c r="K30" s="14"/>
      <c r="L30" s="14"/>
      <c r="M30" s="14"/>
      <c r="N30" s="14"/>
      <c r="O30" s="14"/>
      <c r="P30" s="14"/>
    </row>
    <row r="31" spans="1:16" ht="12.75" hidden="1" x14ac:dyDescent="0.2">
      <c r="A31" s="15"/>
      <c r="B31" s="16"/>
      <c r="C31" s="16"/>
      <c r="D31" s="16"/>
      <c r="E31" s="16"/>
      <c r="F31" s="16"/>
      <c r="G31" s="17"/>
      <c r="H31" s="17"/>
      <c r="I31" s="18"/>
      <c r="J31" s="18"/>
      <c r="K31" s="19"/>
      <c r="L31" s="19"/>
      <c r="M31" s="19"/>
      <c r="N31" s="19"/>
      <c r="O31" s="19"/>
      <c r="P31" s="19"/>
    </row>
    <row r="32" spans="1:16" ht="12.75" hidden="1" x14ac:dyDescent="0.2">
      <c r="A32" s="15"/>
      <c r="B32" s="16"/>
      <c r="C32" s="16"/>
      <c r="D32" s="16"/>
      <c r="E32" s="16"/>
      <c r="F32" s="16"/>
      <c r="G32" s="17"/>
      <c r="H32" s="17"/>
      <c r="I32" s="18"/>
      <c r="J32" s="18"/>
      <c r="K32" s="19"/>
      <c r="L32" s="19"/>
      <c r="M32" s="19"/>
      <c r="N32" s="19"/>
      <c r="O32" s="19"/>
      <c r="P32" s="19"/>
    </row>
    <row r="33" spans="1:16" ht="12.75" hidden="1" x14ac:dyDescent="0.2">
      <c r="A33" s="15"/>
      <c r="B33" s="16"/>
      <c r="C33" s="16"/>
      <c r="D33" s="16"/>
      <c r="E33" s="16"/>
      <c r="F33" s="16"/>
      <c r="G33" s="17"/>
      <c r="H33" s="17"/>
      <c r="I33" s="18"/>
      <c r="J33" s="18"/>
      <c r="K33" s="19"/>
      <c r="L33" s="19"/>
      <c r="M33" s="19"/>
      <c r="N33" s="19"/>
      <c r="O33" s="19"/>
      <c r="P33" s="19"/>
    </row>
    <row r="34" spans="1:16" ht="12.75" hidden="1" x14ac:dyDescent="0.2">
      <c r="A34" s="15"/>
      <c r="B34" s="16"/>
      <c r="C34" s="16"/>
      <c r="D34" s="16"/>
      <c r="E34" s="16"/>
      <c r="F34" s="16"/>
      <c r="G34" s="17"/>
      <c r="H34" s="17"/>
      <c r="I34" s="18"/>
      <c r="J34" s="18"/>
      <c r="K34" s="19"/>
      <c r="L34" s="19"/>
      <c r="M34" s="19"/>
      <c r="N34" s="19"/>
      <c r="O34" s="19"/>
      <c r="P34" s="19"/>
    </row>
    <row r="35" spans="1:16" ht="12.75" hidden="1" x14ac:dyDescent="0.2">
      <c r="A35" s="15"/>
      <c r="B35" s="16"/>
      <c r="C35" s="16"/>
      <c r="D35" s="16"/>
      <c r="E35" s="16"/>
      <c r="F35" s="16"/>
      <c r="G35" s="17"/>
      <c r="H35" s="17"/>
      <c r="I35" s="18"/>
      <c r="J35" s="18"/>
      <c r="K35" s="19"/>
      <c r="L35" s="19"/>
      <c r="M35" s="19"/>
      <c r="N35" s="19"/>
      <c r="O35" s="19"/>
      <c r="P35" s="19"/>
    </row>
    <row r="36" spans="1:16" ht="12.75" hidden="1" x14ac:dyDescent="0.2">
      <c r="A36" s="15"/>
      <c r="B36" s="16"/>
      <c r="C36" s="16"/>
      <c r="D36" s="16"/>
      <c r="E36" s="16"/>
      <c r="F36" s="16"/>
      <c r="G36" s="17"/>
      <c r="H36" s="17"/>
      <c r="I36" s="18"/>
      <c r="J36" s="18"/>
      <c r="K36" s="19"/>
      <c r="L36" s="19"/>
      <c r="M36" s="19"/>
      <c r="N36" s="19"/>
      <c r="O36" s="19"/>
      <c r="P36" s="19"/>
    </row>
    <row r="37" spans="1:16" ht="12.75" hidden="1" x14ac:dyDescent="0.2">
      <c r="A37" s="15"/>
      <c r="B37" s="16"/>
      <c r="C37" s="16"/>
      <c r="D37" s="16"/>
      <c r="E37" s="16"/>
      <c r="F37" s="16"/>
      <c r="G37" s="17"/>
      <c r="H37" s="17"/>
      <c r="I37" s="18"/>
      <c r="J37" s="18"/>
      <c r="K37" s="19"/>
      <c r="L37" s="19"/>
      <c r="M37" s="19"/>
      <c r="N37" s="19"/>
      <c r="O37" s="19"/>
      <c r="P37" s="19"/>
    </row>
    <row r="38" spans="1:16" ht="12.75" hidden="1" x14ac:dyDescent="0.2">
      <c r="A38" s="15"/>
      <c r="B38" s="16"/>
      <c r="C38" s="16"/>
      <c r="D38" s="16"/>
      <c r="E38" s="16"/>
      <c r="F38" s="16"/>
      <c r="G38" s="17"/>
      <c r="H38" s="17"/>
      <c r="I38" s="18"/>
      <c r="J38" s="18"/>
      <c r="K38" s="19"/>
      <c r="L38" s="19"/>
      <c r="M38" s="19"/>
      <c r="N38" s="19"/>
      <c r="O38" s="19"/>
      <c r="P38" s="19"/>
    </row>
    <row r="39" spans="1:16" ht="12.75" hidden="1" x14ac:dyDescent="0.2">
      <c r="A39" s="20"/>
      <c r="B39" s="21"/>
      <c r="C39" s="21"/>
      <c r="D39" s="21"/>
      <c r="E39" s="21"/>
      <c r="F39" s="21"/>
      <c r="G39" s="12"/>
      <c r="H39" s="12"/>
      <c r="I39" s="13"/>
      <c r="J39" s="13"/>
      <c r="K39" s="14"/>
      <c r="L39" s="14"/>
      <c r="M39" s="14"/>
      <c r="N39" s="14"/>
      <c r="O39" s="14"/>
      <c r="P39" s="14"/>
    </row>
    <row r="40" spans="1:16" ht="19.5" hidden="1" x14ac:dyDescent="0.3">
      <c r="A40" s="59" t="s">
        <v>23</v>
      </c>
      <c r="B40" s="60"/>
      <c r="C40" s="60"/>
      <c r="D40" s="60"/>
      <c r="E40" s="60"/>
      <c r="F40" s="60"/>
      <c r="G40" s="61"/>
      <c r="H40" s="61"/>
      <c r="I40" s="62"/>
      <c r="J40" s="62"/>
      <c r="K40" s="63"/>
      <c r="L40" s="64">
        <f ca="1">L44+L59+L72+L94+L125+L139+L157+L173+L186+L266+L282+L303+L320+L333+L356</f>
        <v>1901015</v>
      </c>
      <c r="M40" s="64">
        <f ca="1">M44+M59+M72+M94+M125+M139+M157+M173+M186+M266+M282+M303+M320+M333+M356</f>
        <v>1519075</v>
      </c>
      <c r="N40" s="64">
        <f ca="1">N44+N59+N72+N94+N125+N139+N157+N173+N186+N266+N282+N303+N320+N333+N356</f>
        <v>560878.92999999993</v>
      </c>
      <c r="O40" s="64">
        <f ca="1">IF(L40&gt;0,N40*100/L40,0)</f>
        <v>29.50418223948785</v>
      </c>
      <c r="P40" s="64">
        <f ca="1">IF(M40&gt;0,N40*100/M40,0)</f>
        <v>36.922398828234286</v>
      </c>
    </row>
    <row r="41" spans="1:16" ht="19.5" x14ac:dyDescent="0.3">
      <c r="A41" s="65" t="s">
        <v>24</v>
      </c>
      <c r="B41" s="66"/>
      <c r="C41" s="66"/>
      <c r="D41" s="66"/>
      <c r="E41" s="66"/>
      <c r="F41" s="66"/>
      <c r="G41" s="66"/>
      <c r="H41" s="66"/>
      <c r="I41" s="67"/>
      <c r="J41" s="67"/>
      <c r="K41" s="68"/>
      <c r="L41" s="68"/>
      <c r="M41" s="68"/>
      <c r="N41" s="68"/>
      <c r="O41" s="68"/>
      <c r="P41" s="69"/>
    </row>
    <row r="42" spans="1:16" ht="19.5" x14ac:dyDescent="0.3">
      <c r="A42" s="70"/>
      <c r="B42" s="71" t="s">
        <v>25</v>
      </c>
      <c r="C42" s="70"/>
      <c r="D42" s="70"/>
      <c r="E42" s="70"/>
      <c r="F42" s="70"/>
      <c r="G42" s="72"/>
      <c r="H42" s="72"/>
      <c r="I42" s="73"/>
      <c r="J42" s="73"/>
      <c r="K42" s="74"/>
      <c r="L42" s="74"/>
      <c r="M42" s="74"/>
      <c r="N42" s="74"/>
      <c r="O42" s="74"/>
      <c r="P42" s="74"/>
    </row>
    <row r="43" spans="1:16" ht="12.75" hidden="1" x14ac:dyDescent="0.2">
      <c r="A43" s="15"/>
      <c r="B43" s="16"/>
      <c r="C43" s="16"/>
      <c r="D43" s="16"/>
      <c r="E43" s="16"/>
      <c r="F43" s="16"/>
      <c r="G43" s="17"/>
      <c r="H43" s="17"/>
      <c r="I43" s="18"/>
      <c r="J43" s="18"/>
      <c r="K43" s="19"/>
      <c r="L43" s="19"/>
      <c r="M43" s="19"/>
      <c r="N43" s="19"/>
      <c r="O43" s="19"/>
      <c r="P43" s="19"/>
    </row>
    <row r="44" spans="1:16" ht="19.5" x14ac:dyDescent="0.3">
      <c r="A44" s="75"/>
      <c r="B44" s="76"/>
      <c r="C44" s="77" t="s">
        <v>16</v>
      </c>
      <c r="D44" s="404" t="s">
        <v>17</v>
      </c>
      <c r="E44" s="76"/>
      <c r="F44" s="76"/>
      <c r="G44" s="79"/>
      <c r="H44" s="80" t="s">
        <v>12</v>
      </c>
      <c r="I44" s="81"/>
      <c r="J44" s="81"/>
      <c r="K44" s="82"/>
      <c r="L44" s="83">
        <f ca="1">L45+L46</f>
        <v>300800</v>
      </c>
      <c r="M44" s="83">
        <f ca="1">M45+M46</f>
        <v>300800</v>
      </c>
      <c r="N44" s="83">
        <f ca="1">N45+N46</f>
        <v>122500</v>
      </c>
      <c r="O44" s="83">
        <f ca="1">IF(L44&gt;0,N44*100/L44,0)</f>
        <v>40.724734042553195</v>
      </c>
      <c r="P44" s="83">
        <f ca="1">IF(M44&gt;0,N44*100/M44,0)</f>
        <v>40.724734042553195</v>
      </c>
    </row>
    <row r="45" spans="1:16" ht="18.75" hidden="1" x14ac:dyDescent="0.25">
      <c r="A45" s="75"/>
      <c r="B45" s="76"/>
      <c r="C45" s="76"/>
      <c r="D45" s="76"/>
      <c r="E45" s="84" t="s">
        <v>18</v>
      </c>
      <c r="F45" s="76"/>
      <c r="G45" s="79"/>
      <c r="H45" s="85" t="s">
        <v>12</v>
      </c>
      <c r="I45" s="81"/>
      <c r="J45" s="81"/>
      <c r="K45" s="82"/>
      <c r="L45" s="86">
        <f>L48+L51</f>
        <v>0</v>
      </c>
      <c r="M45" s="86">
        <f>M48+M51</f>
        <v>0</v>
      </c>
      <c r="N45" s="86">
        <f>N48+N51</f>
        <v>0</v>
      </c>
      <c r="O45" s="86">
        <f>IF(L45&gt;0,N45*100/L45,0)</f>
        <v>0</v>
      </c>
      <c r="P45" s="86">
        <f>IF(M45&gt;0,N45*100/M45,0)</f>
        <v>0</v>
      </c>
    </row>
    <row r="46" spans="1:16" ht="18.75" x14ac:dyDescent="0.25">
      <c r="A46" s="75"/>
      <c r="B46" s="76"/>
      <c r="C46" s="76"/>
      <c r="D46" s="76"/>
      <c r="E46" s="87" t="s">
        <v>19</v>
      </c>
      <c r="F46" s="76"/>
      <c r="G46" s="79"/>
      <c r="H46" s="88" t="s">
        <v>12</v>
      </c>
      <c r="I46" s="81"/>
      <c r="J46" s="81"/>
      <c r="K46" s="82"/>
      <c r="L46" s="89">
        <f ca="1">L49+L52</f>
        <v>300800</v>
      </c>
      <c r="M46" s="89">
        <f ca="1">M49+M52</f>
        <v>300800</v>
      </c>
      <c r="N46" s="89">
        <f ca="1">N49+N52</f>
        <v>122500</v>
      </c>
      <c r="O46" s="89">
        <f ca="1">IF(L46&gt;0,N46*100/L46,0)</f>
        <v>40.724734042553195</v>
      </c>
      <c r="P46" s="89">
        <f ca="1">IF(M46&gt;0,N46*100/M46,0)</f>
        <v>40.724734042553195</v>
      </c>
    </row>
    <row r="47" spans="1:16" ht="18.75" x14ac:dyDescent="0.25">
      <c r="A47" s="40"/>
      <c r="B47" s="41"/>
      <c r="C47" s="41"/>
      <c r="D47" s="42" t="s">
        <v>20</v>
      </c>
      <c r="E47" s="41"/>
      <c r="F47" s="41"/>
      <c r="G47" s="43"/>
      <c r="H47" s="44" t="s">
        <v>12</v>
      </c>
      <c r="I47" s="45"/>
      <c r="J47" s="45"/>
      <c r="K47" s="46"/>
      <c r="L47" s="47">
        <f ca="1">L48+L49</f>
        <v>300800</v>
      </c>
      <c r="M47" s="47">
        <f ca="1">M48+M49</f>
        <v>300800</v>
      </c>
      <c r="N47" s="47">
        <f ca="1">N48+N49</f>
        <v>122500</v>
      </c>
      <c r="O47" s="47">
        <f ca="1">IF(L47&gt;0,N47*100/L47,0)</f>
        <v>40.724734042553195</v>
      </c>
      <c r="P47" s="47">
        <f ca="1">IF(M47&gt;0,N47*100/M47,0)</f>
        <v>40.724734042553195</v>
      </c>
    </row>
    <row r="48" spans="1:16" ht="18.75" hidden="1" x14ac:dyDescent="0.25">
      <c r="A48" s="40"/>
      <c r="B48" s="41"/>
      <c r="C48" s="41"/>
      <c r="D48" s="41"/>
      <c r="E48" s="279" t="s">
        <v>18</v>
      </c>
      <c r="F48" s="41"/>
      <c r="G48" s="43"/>
      <c r="H48" s="49" t="s">
        <v>12</v>
      </c>
      <c r="I48" s="45"/>
      <c r="J48" s="45"/>
      <c r="K48" s="46"/>
      <c r="L48" s="50">
        <v>0</v>
      </c>
      <c r="M48" s="50">
        <v>0</v>
      </c>
      <c r="N48" s="50">
        <v>0</v>
      </c>
      <c r="O48" s="50">
        <f>IF(L48&gt;0,N48*100/L48,0)</f>
        <v>0</v>
      </c>
      <c r="P48" s="50">
        <f>IF(M48&gt;0,N48*100/M48,0)</f>
        <v>0</v>
      </c>
    </row>
    <row r="49" spans="1:16" ht="18.75" x14ac:dyDescent="0.25">
      <c r="A49" s="40"/>
      <c r="B49" s="41"/>
      <c r="C49" s="41"/>
      <c r="D49" s="41"/>
      <c r="E49" s="254" t="s">
        <v>19</v>
      </c>
      <c r="F49" s="41"/>
      <c r="G49" s="43"/>
      <c r="H49" s="44" t="s">
        <v>12</v>
      </c>
      <c r="I49" s="45"/>
      <c r="J49" s="45"/>
      <c r="K49" s="46"/>
      <c r="L49" s="47">
        <f ca="1">IFERROR(__xludf.DUMMYFUNCTION("IMPORTRANGE(""https://docs.google.com/spreadsheets/d/1-uDff_7J0KD5mKrp0Vvzr7lt3OU09vwQwhkpOPPYv2Y/edit?usp=sharing"",""งบพรบ!P22"")"),300800)</f>
        <v>300800</v>
      </c>
      <c r="M49" s="47">
        <f ca="1">IFERROR(__xludf.DUMMYFUNCTION("IMPORTRANGE(""https://docs.google.com/spreadsheets/d/1-uDff_7J0KD5mKrp0Vvzr7lt3OU09vwQwhkpOPPYv2Y/edit?usp=sharing"",""งบพรบ!V22"")"),300800)</f>
        <v>300800</v>
      </c>
      <c r="N49" s="47">
        <f ca="1">IFERROR(__xludf.DUMMYFUNCTION("IMPORTRANGE(""https://docs.google.com/spreadsheets/d/1-uDff_7J0KD5mKrp0Vvzr7lt3OU09vwQwhkpOPPYv2Y/edit?usp=sharing"",""งบพรบ!Y22"")"),122500)</f>
        <v>122500</v>
      </c>
      <c r="O49" s="47">
        <f ca="1">IF(L49&gt;0,N49*100/L49,0)</f>
        <v>40.724734042553195</v>
      </c>
      <c r="P49" s="47">
        <f ca="1">IF(M49&gt;0,N49*100/M49,0)</f>
        <v>40.724734042553195</v>
      </c>
    </row>
    <row r="50" spans="1:16" ht="18.75" x14ac:dyDescent="0.25">
      <c r="A50" s="40"/>
      <c r="B50" s="41"/>
      <c r="C50" s="41"/>
      <c r="D50" s="42" t="s">
        <v>21</v>
      </c>
      <c r="E50" s="41"/>
      <c r="F50" s="41"/>
      <c r="G50" s="43"/>
      <c r="H50" s="44" t="s">
        <v>12</v>
      </c>
      <c r="I50" s="45"/>
      <c r="J50" s="45"/>
      <c r="K50" s="46"/>
      <c r="L50" s="47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</row>
    <row r="51" spans="1:16" ht="18.75" hidden="1" x14ac:dyDescent="0.25">
      <c r="A51" s="40"/>
      <c r="B51" s="41"/>
      <c r="C51" s="41"/>
      <c r="D51" s="41"/>
      <c r="E51" s="279" t="s">
        <v>18</v>
      </c>
      <c r="F51" s="41"/>
      <c r="G51" s="43"/>
      <c r="H51" s="49" t="s">
        <v>12</v>
      </c>
      <c r="I51" s="45"/>
      <c r="J51" s="45"/>
      <c r="K51" s="46"/>
      <c r="L51" s="50">
        <v>0</v>
      </c>
      <c r="M51" s="50">
        <v>0</v>
      </c>
      <c r="N51" s="50">
        <v>0</v>
      </c>
      <c r="O51" s="50">
        <f>IF(L51&gt;0,N51*100/L51,0)</f>
        <v>0</v>
      </c>
      <c r="P51" s="50">
        <f>IF(M51&gt;0,N51*100/M51,0)</f>
        <v>0</v>
      </c>
    </row>
    <row r="52" spans="1:16" ht="18.75" x14ac:dyDescent="0.25">
      <c r="A52" s="40"/>
      <c r="B52" s="41"/>
      <c r="C52" s="41"/>
      <c r="D52" s="41"/>
      <c r="E52" s="254" t="s">
        <v>19</v>
      </c>
      <c r="F52" s="41"/>
      <c r="G52" s="43"/>
      <c r="H52" s="44" t="s">
        <v>12</v>
      </c>
      <c r="I52" s="45"/>
      <c r="J52" s="45"/>
      <c r="K52" s="46"/>
      <c r="L52" s="47">
        <f ca="1">IFERROR(__xludf.DUMMYFUNCTION("IMPORTRANGE(""https://docs.google.com/spreadsheets/d/1-uDff_7J0KD5mKrp0Vvzr7lt3OU09vwQwhkpOPPYv2Y/edit?usp=sharing"",""งบพรบ!S22"")"),0)</f>
        <v>0</v>
      </c>
      <c r="M52" s="47">
        <f ca="1">IFERROR(__xludf.DUMMYFUNCTION("IMPORTRANGE(""https://docs.google.com/spreadsheets/d/1-uDff_7J0KD5mKrp0Vvzr7lt3OU09vwQwhkpOPPYv2Y/edit?usp=sharing"",""งบพรบ!W22"")"),0)</f>
        <v>0</v>
      </c>
      <c r="N52" s="47">
        <f ca="1">IFERROR(__xludf.DUMMYFUNCTION("IMPORTRANGE(""https://docs.google.com/spreadsheets/d/1-uDff_7J0KD5mKrp0Vvzr7lt3OU09vwQwhkpOPPYv2Y/edit?usp=sharing"",""งบพรบ!Z22"")"),0)</f>
        <v>0</v>
      </c>
      <c r="O52" s="47">
        <f ca="1">IF(L52&gt;0,N52*100/L52,0)</f>
        <v>0</v>
      </c>
      <c r="P52" s="47">
        <f ca="1">IF(M52&gt;0,N52*100/M52,0)</f>
        <v>0</v>
      </c>
    </row>
    <row r="53" spans="1:16" ht="18.75" hidden="1" x14ac:dyDescent="0.25">
      <c r="A53" s="40"/>
      <c r="B53" s="41"/>
      <c r="C53" s="41"/>
      <c r="D53" s="42" t="s">
        <v>22</v>
      </c>
      <c r="E53" s="41"/>
      <c r="F53" s="41"/>
      <c r="G53" s="43"/>
      <c r="H53" s="44" t="s">
        <v>12</v>
      </c>
      <c r="I53" s="45"/>
      <c r="J53" s="45"/>
      <c r="K53" s="46"/>
      <c r="L53" s="47"/>
      <c r="M53" s="47"/>
      <c r="N53" s="47"/>
      <c r="O53" s="47"/>
      <c r="P53" s="47"/>
    </row>
    <row r="54" spans="1:16" ht="18.75" hidden="1" x14ac:dyDescent="0.25">
      <c r="A54" s="40"/>
      <c r="B54" s="41"/>
      <c r="C54" s="41"/>
      <c r="D54" s="41"/>
      <c r="E54" s="279" t="s">
        <v>18</v>
      </c>
      <c r="F54" s="41"/>
      <c r="G54" s="43"/>
      <c r="H54" s="49" t="s">
        <v>12</v>
      </c>
      <c r="I54" s="45"/>
      <c r="J54" s="45"/>
      <c r="K54" s="46"/>
      <c r="L54" s="50"/>
      <c r="M54" s="50"/>
      <c r="N54" s="50"/>
      <c r="O54" s="50"/>
      <c r="P54" s="50"/>
    </row>
    <row r="55" spans="1:16" ht="18.75" hidden="1" x14ac:dyDescent="0.25">
      <c r="A55" s="52"/>
      <c r="B55" s="1"/>
      <c r="C55" s="1"/>
      <c r="D55" s="1"/>
      <c r="E55" s="53" t="s">
        <v>19</v>
      </c>
      <c r="F55" s="1"/>
      <c r="G55" s="54"/>
      <c r="H55" s="55" t="s">
        <v>12</v>
      </c>
      <c r="I55" s="56"/>
      <c r="J55" s="56"/>
      <c r="K55" s="57"/>
      <c r="L55" s="58"/>
      <c r="M55" s="58"/>
      <c r="N55" s="58"/>
      <c r="O55" s="58"/>
      <c r="P55" s="58"/>
    </row>
    <row r="56" spans="1:16" ht="19.5" x14ac:dyDescent="0.3">
      <c r="A56" s="382" t="s">
        <v>26</v>
      </c>
      <c r="B56" s="379"/>
      <c r="C56" s="379"/>
      <c r="D56" s="379"/>
      <c r="E56" s="379"/>
      <c r="F56" s="379"/>
      <c r="G56" s="380"/>
      <c r="H56" s="90"/>
      <c r="I56" s="91"/>
      <c r="J56" s="91"/>
      <c r="K56" s="92"/>
      <c r="L56" s="92"/>
      <c r="M56" s="92"/>
      <c r="N56" s="92"/>
      <c r="O56" s="92"/>
      <c r="P56" s="93"/>
    </row>
    <row r="57" spans="1:16" ht="19.5" x14ac:dyDescent="0.3">
      <c r="A57" s="94"/>
      <c r="B57" s="383" t="s">
        <v>27</v>
      </c>
      <c r="C57" s="384"/>
      <c r="D57" s="384"/>
      <c r="E57" s="384"/>
      <c r="F57" s="384"/>
      <c r="G57" s="385"/>
      <c r="H57" s="95"/>
      <c r="I57" s="96"/>
      <c r="J57" s="96"/>
      <c r="K57" s="97"/>
      <c r="L57" s="97"/>
      <c r="M57" s="97"/>
      <c r="N57" s="97"/>
      <c r="O57" s="97"/>
      <c r="P57" s="97"/>
    </row>
    <row r="58" spans="1:16" ht="19.5" x14ac:dyDescent="0.3">
      <c r="A58" s="98"/>
      <c r="B58" s="99" t="s">
        <v>28</v>
      </c>
      <c r="C58" s="100"/>
      <c r="D58" s="100"/>
      <c r="E58" s="100"/>
      <c r="F58" s="100"/>
      <c r="G58" s="101"/>
      <c r="H58" s="101"/>
      <c r="I58" s="102"/>
      <c r="J58" s="102"/>
      <c r="K58" s="103"/>
      <c r="L58" s="103"/>
      <c r="M58" s="103"/>
      <c r="N58" s="103"/>
      <c r="O58" s="103"/>
      <c r="P58" s="103"/>
    </row>
    <row r="59" spans="1:16" ht="19.5" x14ac:dyDescent="0.3">
      <c r="A59" s="104"/>
      <c r="B59" s="105"/>
      <c r="C59" s="106" t="s">
        <v>16</v>
      </c>
      <c r="D59" s="403" t="s">
        <v>17</v>
      </c>
      <c r="E59" s="105"/>
      <c r="F59" s="105"/>
      <c r="G59" s="108"/>
      <c r="H59" s="109" t="s">
        <v>12</v>
      </c>
      <c r="I59" s="110"/>
      <c r="J59" s="110"/>
      <c r="K59" s="111"/>
      <c r="L59" s="112">
        <f ca="1">L60+L61</f>
        <v>702500</v>
      </c>
      <c r="M59" s="112">
        <f ca="1">M60+M61</f>
        <v>529050</v>
      </c>
      <c r="N59" s="112">
        <f ca="1">N60+N61</f>
        <v>377902.93</v>
      </c>
      <c r="O59" s="112">
        <f ca="1">IF(L59&gt;0,N59*100/L59,0)</f>
        <v>53.794011387900355</v>
      </c>
      <c r="P59" s="112">
        <f ca="1">IF(M59&gt;0,N59*100/M59,0)</f>
        <v>71.430475380398832</v>
      </c>
    </row>
    <row r="60" spans="1:16" ht="18.75" hidden="1" x14ac:dyDescent="0.25">
      <c r="A60" s="104"/>
      <c r="B60" s="105"/>
      <c r="C60" s="105"/>
      <c r="D60" s="105"/>
      <c r="E60" s="113" t="s">
        <v>18</v>
      </c>
      <c r="F60" s="105"/>
      <c r="G60" s="108"/>
      <c r="H60" s="114" t="s">
        <v>12</v>
      </c>
      <c r="I60" s="110"/>
      <c r="J60" s="110"/>
      <c r="K60" s="111"/>
      <c r="L60" s="115">
        <f>L63+L66</f>
        <v>0</v>
      </c>
      <c r="M60" s="115">
        <f>M63+M66</f>
        <v>0</v>
      </c>
      <c r="N60" s="115">
        <f>N63+N66</f>
        <v>0</v>
      </c>
      <c r="O60" s="115">
        <f>IF(L60&gt;0,N60*100/L60,0)</f>
        <v>0</v>
      </c>
      <c r="P60" s="115">
        <f>IF(M60&gt;0,N60*100/M60,0)</f>
        <v>0</v>
      </c>
    </row>
    <row r="61" spans="1:16" ht="18.75" hidden="1" x14ac:dyDescent="0.25">
      <c r="A61" s="104"/>
      <c r="B61" s="105"/>
      <c r="C61" s="105"/>
      <c r="D61" s="105"/>
      <c r="E61" s="116" t="s">
        <v>19</v>
      </c>
      <c r="F61" s="105"/>
      <c r="G61" s="108"/>
      <c r="H61" s="117" t="s">
        <v>12</v>
      </c>
      <c r="I61" s="110"/>
      <c r="J61" s="110"/>
      <c r="K61" s="111"/>
      <c r="L61" s="118">
        <f ca="1">L64+L67</f>
        <v>702500</v>
      </c>
      <c r="M61" s="118">
        <f ca="1">M64+M67</f>
        <v>529050</v>
      </c>
      <c r="N61" s="118">
        <f ca="1">N64+N67</f>
        <v>377902.93</v>
      </c>
      <c r="O61" s="118">
        <f ca="1">IF(L61&gt;0,N61*100/L61,0)</f>
        <v>53.794011387900355</v>
      </c>
      <c r="P61" s="118">
        <f ca="1">IF(M61&gt;0,N61*100/M61,0)</f>
        <v>71.430475380398832</v>
      </c>
    </row>
    <row r="62" spans="1:16" ht="18.75" x14ac:dyDescent="0.25">
      <c r="A62" s="40"/>
      <c r="B62" s="41"/>
      <c r="C62" s="41"/>
      <c r="D62" s="42" t="s">
        <v>20</v>
      </c>
      <c r="E62" s="41"/>
      <c r="F62" s="41"/>
      <c r="G62" s="43"/>
      <c r="H62" s="44" t="s">
        <v>12</v>
      </c>
      <c r="I62" s="45"/>
      <c r="J62" s="45"/>
      <c r="K62" s="46"/>
      <c r="L62" s="47">
        <f ca="1">L63+L64</f>
        <v>702500</v>
      </c>
      <c r="M62" s="47">
        <f ca="1">M63+M64</f>
        <v>529050</v>
      </c>
      <c r="N62" s="47">
        <f ca="1">N63+N64</f>
        <v>377902.93</v>
      </c>
      <c r="O62" s="47">
        <f ca="1">IF(L62&gt;0,N62*100/L62,0)</f>
        <v>53.794011387900355</v>
      </c>
      <c r="P62" s="47">
        <f ca="1">IF(M62&gt;0,N62*100/M62,0)</f>
        <v>71.430475380398832</v>
      </c>
    </row>
    <row r="63" spans="1:16" ht="18.75" hidden="1" x14ac:dyDescent="0.25">
      <c r="A63" s="40"/>
      <c r="B63" s="41"/>
      <c r="C63" s="41"/>
      <c r="D63" s="41"/>
      <c r="E63" s="279" t="s">
        <v>18</v>
      </c>
      <c r="F63" s="41"/>
      <c r="G63" s="43"/>
      <c r="H63" s="49" t="s">
        <v>12</v>
      </c>
      <c r="I63" s="45"/>
      <c r="J63" s="45"/>
      <c r="K63" s="46"/>
      <c r="L63" s="50">
        <v>0</v>
      </c>
      <c r="M63" s="50">
        <v>0</v>
      </c>
      <c r="N63" s="50">
        <v>0</v>
      </c>
      <c r="O63" s="50">
        <f>IF(L63&gt;0,N63*100/L63,0)</f>
        <v>0</v>
      </c>
      <c r="P63" s="50">
        <f>IF(M63&gt;0,N63*100/M63,0)</f>
        <v>0</v>
      </c>
    </row>
    <row r="64" spans="1:16" ht="18.75" x14ac:dyDescent="0.25">
      <c r="A64" s="40"/>
      <c r="B64" s="41"/>
      <c r="C64" s="41"/>
      <c r="D64" s="41"/>
      <c r="E64" s="254" t="s">
        <v>19</v>
      </c>
      <c r="F64" s="41"/>
      <c r="G64" s="43"/>
      <c r="H64" s="44" t="s">
        <v>12</v>
      </c>
      <c r="I64" s="45"/>
      <c r="J64" s="45"/>
      <c r="K64" s="46"/>
      <c r="L64" s="47">
        <f ca="1">IFERROR(__xludf.DUMMYFUNCTION("IMPORTRANGE(""https://docs.google.com/spreadsheets/d/1-uDff_7J0KD5mKrp0Vvzr7lt3OU09vwQwhkpOPPYv2Y/edit?usp=sharing"",""งบพรบ!AC22"")"),702500)</f>
        <v>702500</v>
      </c>
      <c r="M64" s="47">
        <f ca="1">IFERROR(__xludf.DUMMYFUNCTION("IMPORTRANGE(""https://docs.google.com/spreadsheets/d/1-uDff_7J0KD5mKrp0Vvzr7lt3OU09vwQwhkpOPPYv2Y/edit?usp=sharing"",""งบพรบ!AH22"")"),529050)</f>
        <v>529050</v>
      </c>
      <c r="N64" s="47">
        <f ca="1">IFERROR(__xludf.DUMMYFUNCTION("IMPORTRANGE(""https://docs.google.com/spreadsheets/d/1-uDff_7J0KD5mKrp0Vvzr7lt3OU09vwQwhkpOPPYv2Y/edit?usp=sharing"",""งบพรบ!AJ22"")"),377902.93)</f>
        <v>377902.93</v>
      </c>
      <c r="O64" s="47">
        <f ca="1">IF(L64&gt;0,N64*100/L64,0)</f>
        <v>53.794011387900355</v>
      </c>
      <c r="P64" s="47">
        <f ca="1">IF(M64&gt;0,N64*100/M64,0)</f>
        <v>71.430475380398832</v>
      </c>
    </row>
    <row r="65" spans="1:16" ht="18.75" x14ac:dyDescent="0.25">
      <c r="A65" s="40"/>
      <c r="B65" s="41"/>
      <c r="C65" s="41"/>
      <c r="D65" s="42" t="s">
        <v>21</v>
      </c>
      <c r="E65" s="41"/>
      <c r="F65" s="41"/>
      <c r="G65" s="43"/>
      <c r="H65" s="44" t="s">
        <v>12</v>
      </c>
      <c r="I65" s="45"/>
      <c r="J65" s="45"/>
      <c r="K65" s="46"/>
      <c r="L65" s="47">
        <f ca="1">L66+L67</f>
        <v>0</v>
      </c>
      <c r="M65" s="47">
        <f ca="1">M66+M67</f>
        <v>0</v>
      </c>
      <c r="N65" s="47">
        <f ca="1">N66+N67</f>
        <v>0</v>
      </c>
      <c r="O65" s="47">
        <f ca="1">IF(L65&gt;0,N65*100/L65,0)</f>
        <v>0</v>
      </c>
      <c r="P65" s="47">
        <f ca="1">IF(M65&gt;0,N65*100/M65,0)</f>
        <v>0</v>
      </c>
    </row>
    <row r="66" spans="1:16" ht="18.75" hidden="1" x14ac:dyDescent="0.25">
      <c r="A66" s="40"/>
      <c r="B66" s="41"/>
      <c r="C66" s="41"/>
      <c r="D66" s="41"/>
      <c r="E66" s="279" t="s">
        <v>18</v>
      </c>
      <c r="F66" s="41"/>
      <c r="G66" s="43"/>
      <c r="H66" s="49" t="s">
        <v>12</v>
      </c>
      <c r="I66" s="45"/>
      <c r="J66" s="45"/>
      <c r="K66" s="46"/>
      <c r="L66" s="50">
        <v>0</v>
      </c>
      <c r="M66" s="50">
        <v>0</v>
      </c>
      <c r="N66" s="50">
        <v>0</v>
      </c>
      <c r="O66" s="50">
        <f>IF(L66&gt;0,N66*100/L66,0)</f>
        <v>0</v>
      </c>
      <c r="P66" s="50">
        <f>IF(M66&gt;0,N66*100/M66,0)</f>
        <v>0</v>
      </c>
    </row>
    <row r="67" spans="1:16" ht="18.75" x14ac:dyDescent="0.25">
      <c r="A67" s="52"/>
      <c r="B67" s="1"/>
      <c r="C67" s="1"/>
      <c r="D67" s="1"/>
      <c r="E67" s="53" t="s">
        <v>19</v>
      </c>
      <c r="F67" s="1"/>
      <c r="G67" s="54"/>
      <c r="H67" s="55" t="s">
        <v>12</v>
      </c>
      <c r="I67" s="56"/>
      <c r="J67" s="56"/>
      <c r="K67" s="57"/>
      <c r="L67" s="58">
        <f ca="1">IFERROR(__xludf.DUMMYFUNCTION("IMPORTRANGE(""https://docs.google.com/spreadsheets/d/1-uDff_7J0KD5mKrp0Vvzr7lt3OU09vwQwhkpOPPYv2Y/edit?usp=sharing"",""งบพรบ!AF22"")"),0)</f>
        <v>0</v>
      </c>
      <c r="M67" s="58">
        <f ca="1">IFERROR(__xludf.DUMMYFUNCTION("IMPORTRANGE(""https://docs.google.com/spreadsheets/d/1-uDff_7J0KD5mKrp0Vvzr7lt3OU09vwQwhkpOPPYv2Y/edit?usp=sharing"",""งบพรบ!AI22"")"),0)</f>
        <v>0</v>
      </c>
      <c r="N67" s="58">
        <f ca="1">IFERROR(__xludf.DUMMYFUNCTION("IMPORTRANGE(""https://docs.google.com/spreadsheets/d/1-uDff_7J0KD5mKrp0Vvzr7lt3OU09vwQwhkpOPPYv2Y/edit?usp=sharing"",""งบพรบ!AK22"")"),0)</f>
        <v>0</v>
      </c>
      <c r="O67" s="58">
        <f ca="1">IF(L67&gt;0,N67*100/L67,0)</f>
        <v>0</v>
      </c>
      <c r="P67" s="58">
        <f ca="1">IF(M67&gt;0,N67*100/M67,0)</f>
        <v>0</v>
      </c>
    </row>
    <row r="68" spans="1:16" ht="19.5" hidden="1" x14ac:dyDescent="0.3">
      <c r="A68" s="119" t="s">
        <v>29</v>
      </c>
      <c r="B68" s="120"/>
      <c r="C68" s="120"/>
      <c r="D68" s="120"/>
      <c r="E68" s="121"/>
      <c r="F68" s="121"/>
      <c r="G68" s="121"/>
      <c r="H68" s="121"/>
      <c r="I68" s="122"/>
      <c r="J68" s="122"/>
      <c r="K68" s="123"/>
      <c r="L68" s="123"/>
      <c r="M68" s="123"/>
      <c r="N68" s="123"/>
      <c r="O68" s="123"/>
      <c r="P68" s="124"/>
    </row>
    <row r="69" spans="1:16" ht="19.5" hidden="1" x14ac:dyDescent="0.3">
      <c r="A69" s="125" t="s">
        <v>30</v>
      </c>
      <c r="B69" s="126"/>
      <c r="C69" s="127"/>
      <c r="D69" s="126"/>
      <c r="E69" s="126"/>
      <c r="F69" s="126"/>
      <c r="G69" s="128"/>
      <c r="H69" s="128"/>
      <c r="I69" s="129"/>
      <c r="J69" s="129"/>
      <c r="K69" s="130"/>
      <c r="L69" s="130"/>
      <c r="M69" s="130"/>
      <c r="N69" s="130"/>
      <c r="O69" s="130"/>
      <c r="P69" s="130"/>
    </row>
    <row r="70" spans="1:16" ht="19.5" hidden="1" x14ac:dyDescent="0.3">
      <c r="A70" s="131"/>
      <c r="B70" s="132" t="s">
        <v>31</v>
      </c>
      <c r="C70" s="26"/>
      <c r="D70" s="133"/>
      <c r="E70" s="26"/>
      <c r="F70" s="26"/>
      <c r="G70" s="29"/>
      <c r="H70" s="134" t="s">
        <v>32</v>
      </c>
      <c r="I70" s="135">
        <f ca="1">I82</f>
        <v>0</v>
      </c>
      <c r="J70" s="135">
        <f>J82</f>
        <v>0</v>
      </c>
      <c r="K70" s="33">
        <f ca="1">IF(I70&gt;0,J70*100/I70,0)</f>
        <v>0</v>
      </c>
      <c r="L70" s="32"/>
      <c r="M70" s="32"/>
      <c r="N70" s="32"/>
      <c r="O70" s="32"/>
      <c r="P70" s="32"/>
    </row>
    <row r="71" spans="1:16" ht="19.5" hidden="1" x14ac:dyDescent="0.3">
      <c r="A71" s="131"/>
      <c r="B71" s="26"/>
      <c r="C71" s="26"/>
      <c r="D71" s="133"/>
      <c r="E71" s="26"/>
      <c r="F71" s="26"/>
      <c r="G71" s="29"/>
      <c r="H71" s="134" t="s">
        <v>33</v>
      </c>
      <c r="I71" s="135">
        <f ca="1">I83</f>
        <v>0</v>
      </c>
      <c r="J71" s="135">
        <f>J83</f>
        <v>0</v>
      </c>
      <c r="K71" s="33">
        <f ca="1">IF(I71&gt;0,J71*100/I71,0)</f>
        <v>0</v>
      </c>
      <c r="L71" s="32"/>
      <c r="M71" s="32"/>
      <c r="N71" s="32"/>
      <c r="O71" s="32"/>
      <c r="P71" s="32"/>
    </row>
    <row r="72" spans="1:16" ht="19.5" hidden="1" x14ac:dyDescent="0.3">
      <c r="A72" s="136"/>
      <c r="B72" s="41"/>
      <c r="C72" s="197" t="s">
        <v>16</v>
      </c>
      <c r="D72" s="397" t="s">
        <v>17</v>
      </c>
      <c r="E72" s="41"/>
      <c r="F72" s="41"/>
      <c r="G72" s="43"/>
      <c r="H72" s="139" t="s">
        <v>12</v>
      </c>
      <c r="I72" s="45"/>
      <c r="J72" s="45"/>
      <c r="K72" s="46"/>
      <c r="L72" s="140">
        <f ca="1">L73+L74</f>
        <v>0</v>
      </c>
      <c r="M72" s="140">
        <f ca="1">M73+M74</f>
        <v>0</v>
      </c>
      <c r="N72" s="140">
        <f ca="1">N73+N74</f>
        <v>0</v>
      </c>
      <c r="O72" s="140">
        <f ca="1">IF(L72&gt;0,N72*100/L72,0)</f>
        <v>0</v>
      </c>
      <c r="P72" s="140">
        <f ca="1">IF(M72&gt;0,N72*100/M72,0)</f>
        <v>0</v>
      </c>
    </row>
    <row r="73" spans="1:16" ht="18.75" hidden="1" x14ac:dyDescent="0.25">
      <c r="A73" s="136"/>
      <c r="B73" s="41"/>
      <c r="C73" s="41"/>
      <c r="D73" s="41"/>
      <c r="E73" s="279" t="s">
        <v>18</v>
      </c>
      <c r="F73" s="41"/>
      <c r="G73" s="43"/>
      <c r="H73" s="141" t="s">
        <v>12</v>
      </c>
      <c r="I73" s="45"/>
      <c r="J73" s="45"/>
      <c r="K73" s="46"/>
      <c r="L73" s="50">
        <f>L76+L79</f>
        <v>0</v>
      </c>
      <c r="M73" s="50">
        <f>M76+M79</f>
        <v>0</v>
      </c>
      <c r="N73" s="50">
        <f>N76+N79</f>
        <v>0</v>
      </c>
      <c r="O73" s="50">
        <f>IF(L73&gt;0,N73*100/L73,0)</f>
        <v>0</v>
      </c>
      <c r="P73" s="50">
        <f>IF(M73&gt;0,N73*100/M73,0)</f>
        <v>0</v>
      </c>
    </row>
    <row r="74" spans="1:16" ht="18.75" hidden="1" x14ac:dyDescent="0.25">
      <c r="A74" s="136"/>
      <c r="B74" s="41"/>
      <c r="C74" s="41"/>
      <c r="D74" s="41"/>
      <c r="E74" s="254" t="s">
        <v>19</v>
      </c>
      <c r="F74" s="41"/>
      <c r="G74" s="43"/>
      <c r="H74" s="142" t="s">
        <v>12</v>
      </c>
      <c r="I74" s="45"/>
      <c r="J74" s="45"/>
      <c r="K74" s="46"/>
      <c r="L74" s="47">
        <f ca="1">L77+L80</f>
        <v>0</v>
      </c>
      <c r="M74" s="47">
        <f ca="1">M77+M80</f>
        <v>0</v>
      </c>
      <c r="N74" s="47">
        <f ca="1">N77+N80</f>
        <v>0</v>
      </c>
      <c r="O74" s="47">
        <f ca="1">IF(L74&gt;0,N74*100/L74,0)</f>
        <v>0</v>
      </c>
      <c r="P74" s="47">
        <f ca="1">IF(M74&gt;0,N74*100/M74,0)</f>
        <v>0</v>
      </c>
    </row>
    <row r="75" spans="1:16" ht="18.75" hidden="1" x14ac:dyDescent="0.25">
      <c r="A75" s="136"/>
      <c r="B75" s="41"/>
      <c r="C75" s="41"/>
      <c r="D75" s="42" t="s">
        <v>20</v>
      </c>
      <c r="E75" s="41"/>
      <c r="F75" s="41"/>
      <c r="G75" s="43"/>
      <c r="H75" s="143" t="s">
        <v>12</v>
      </c>
      <c r="I75" s="144"/>
      <c r="J75" s="144"/>
      <c r="K75" s="145"/>
      <c r="L75" s="47">
        <f ca="1">L76+L77</f>
        <v>0</v>
      </c>
      <c r="M75" s="47">
        <f ca="1">M76+M77</f>
        <v>0</v>
      </c>
      <c r="N75" s="47">
        <f ca="1">N76+N77</f>
        <v>0</v>
      </c>
      <c r="O75" s="47">
        <f ca="1">IF(L75&gt;0,N75*100/L75,0)</f>
        <v>0</v>
      </c>
      <c r="P75" s="47">
        <f ca="1">IF(M75&gt;0,N75*100/M75,0)</f>
        <v>0</v>
      </c>
    </row>
    <row r="76" spans="1:16" ht="18.75" hidden="1" x14ac:dyDescent="0.25">
      <c r="A76" s="136"/>
      <c r="B76" s="41"/>
      <c r="C76" s="41"/>
      <c r="D76" s="41"/>
      <c r="E76" s="279" t="s">
        <v>34</v>
      </c>
      <c r="F76" s="41"/>
      <c r="G76" s="43"/>
      <c r="H76" s="146" t="s">
        <v>12</v>
      </c>
      <c r="I76" s="144"/>
      <c r="J76" s="144"/>
      <c r="K76" s="145"/>
      <c r="L76" s="50">
        <v>0</v>
      </c>
      <c r="M76" s="50">
        <v>0</v>
      </c>
      <c r="N76" s="50">
        <v>0</v>
      </c>
      <c r="O76" s="50">
        <f>IF(L76&gt;0,N76*100/L76,0)</f>
        <v>0</v>
      </c>
      <c r="P76" s="50">
        <f>IF(M76&gt;0,N76*100/M76,0)</f>
        <v>0</v>
      </c>
    </row>
    <row r="77" spans="1:16" ht="18.75" hidden="1" x14ac:dyDescent="0.25">
      <c r="A77" s="136"/>
      <c r="B77" s="41"/>
      <c r="C77" s="41"/>
      <c r="D77" s="41"/>
      <c r="E77" s="254" t="s">
        <v>35</v>
      </c>
      <c r="F77" s="41"/>
      <c r="G77" s="43"/>
      <c r="H77" s="143" t="s">
        <v>12</v>
      </c>
      <c r="I77" s="144"/>
      <c r="J77" s="144"/>
      <c r="K77" s="145"/>
      <c r="L77" s="47">
        <f ca="1">IFERROR(__xludf.DUMMYFUNCTION("IMPORTRANGE(""https://docs.google.com/spreadsheets/d/1-uDff_7J0KD5mKrp0Vvzr7lt3OU09vwQwhkpOPPYv2Y/edit?usp=sharing"",""งบพรบ!AM22"")"),0)</f>
        <v>0</v>
      </c>
      <c r="M77" s="47">
        <f ca="1">IFERROR(__xludf.DUMMYFUNCTION("IMPORTRANGE(""https://docs.google.com/spreadsheets/d/1-uDff_7J0KD5mKrp0Vvzr7lt3OU09vwQwhkpOPPYv2Y/edit?usp=sharing"",""งบพรบ!AR22"")"),0)</f>
        <v>0</v>
      </c>
      <c r="N77" s="47">
        <f ca="1">IFERROR(__xludf.DUMMYFUNCTION("IMPORTRANGE(""https://docs.google.com/spreadsheets/d/1-uDff_7J0KD5mKrp0Vvzr7lt3OU09vwQwhkpOPPYv2Y/edit?usp=sharing"",""งบพรบ!AT22"")"),0)</f>
        <v>0</v>
      </c>
      <c r="O77" s="47">
        <f ca="1">IF(L77&gt;0,N77*100/L77,0)</f>
        <v>0</v>
      </c>
      <c r="P77" s="47">
        <f ca="1">IF(M77&gt;0,N77*100/M77,0)</f>
        <v>0</v>
      </c>
    </row>
    <row r="78" spans="1:16" ht="18.75" hidden="1" x14ac:dyDescent="0.25">
      <c r="A78" s="136"/>
      <c r="B78" s="41"/>
      <c r="C78" s="41"/>
      <c r="D78" s="42" t="s">
        <v>21</v>
      </c>
      <c r="E78" s="41"/>
      <c r="F78" s="41"/>
      <c r="G78" s="43"/>
      <c r="H78" s="147" t="s">
        <v>12</v>
      </c>
      <c r="I78" s="144"/>
      <c r="J78" s="144"/>
      <c r="K78" s="145"/>
      <c r="L78" s="47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</row>
    <row r="79" spans="1:16" ht="18.75" hidden="1" x14ac:dyDescent="0.25">
      <c r="A79" s="136"/>
      <c r="B79" s="41"/>
      <c r="C79" s="41"/>
      <c r="D79" s="41"/>
      <c r="E79" s="279" t="s">
        <v>18</v>
      </c>
      <c r="F79" s="41"/>
      <c r="G79" s="43"/>
      <c r="H79" s="146" t="s">
        <v>12</v>
      </c>
      <c r="I79" s="144"/>
      <c r="J79" s="144"/>
      <c r="K79" s="145"/>
      <c r="L79" s="50">
        <v>0</v>
      </c>
      <c r="M79" s="46"/>
      <c r="N79" s="46"/>
      <c r="O79" s="50">
        <f>IF(L79&gt;0,N79*100/L79,0)</f>
        <v>0</v>
      </c>
      <c r="P79" s="50">
        <f>IF(M79&gt;0,N79*100/M79,0)</f>
        <v>0</v>
      </c>
    </row>
    <row r="80" spans="1:16" ht="18.75" hidden="1" x14ac:dyDescent="0.25">
      <c r="A80" s="136"/>
      <c r="B80" s="41"/>
      <c r="C80" s="41"/>
      <c r="D80" s="41"/>
      <c r="E80" s="254" t="s">
        <v>19</v>
      </c>
      <c r="F80" s="41"/>
      <c r="G80" s="43"/>
      <c r="H80" s="147" t="s">
        <v>12</v>
      </c>
      <c r="I80" s="144"/>
      <c r="J80" s="144"/>
      <c r="K80" s="145"/>
      <c r="L80" s="47">
        <f ca="1">IFERROR(__xludf.DUMMYFUNCTION("IMPORTRANGE(""https://docs.google.com/spreadsheets/d/1-uDff_7J0KD5mKrp0Vvzr7lt3OU09vwQwhkpOPPYv2Y/edit?usp=sharing"",""งบพรบ!AP22"")"),0)</f>
        <v>0</v>
      </c>
      <c r="M80" s="47">
        <f ca="1">IFERROR(__xludf.DUMMYFUNCTION("IMPORTRANGE(""https://docs.google.com/spreadsheets/d/1-uDff_7J0KD5mKrp0Vvzr7lt3OU09vwQwhkpOPPYv2Y/edit?usp=sharing"",""งบพรบ!AS22"")"),0)</f>
        <v>0</v>
      </c>
      <c r="N80" s="47">
        <f ca="1">IFERROR(__xludf.DUMMYFUNCTION("IMPORTRANGE(""https://docs.google.com/spreadsheets/d/1-uDff_7J0KD5mKrp0Vvzr7lt3OU09vwQwhkpOPPYv2Y/edit?usp=sharing"",""งบพรบ!AU22"")"),0)</f>
        <v>0</v>
      </c>
      <c r="O80" s="47">
        <f ca="1">IF(L80&gt;0,N80*100/L80,0)</f>
        <v>0</v>
      </c>
      <c r="P80" s="47">
        <f ca="1">IF(M80&gt;0,N80*100/M80,0)</f>
        <v>0</v>
      </c>
    </row>
    <row r="81" spans="1:16" ht="19.5" hidden="1" x14ac:dyDescent="0.3">
      <c r="A81" s="148"/>
      <c r="B81" s="149"/>
      <c r="C81" s="197" t="s">
        <v>16</v>
      </c>
      <c r="D81" s="395" t="s">
        <v>36</v>
      </c>
      <c r="E81" s="151"/>
      <c r="F81" s="151"/>
      <c r="G81" s="152"/>
      <c r="H81" s="153"/>
      <c r="I81" s="144"/>
      <c r="J81" s="144"/>
      <c r="K81" s="145"/>
      <c r="L81" s="145"/>
      <c r="M81" s="145"/>
      <c r="N81" s="145"/>
      <c r="O81" s="145"/>
      <c r="P81" s="145"/>
    </row>
    <row r="82" spans="1:16" ht="19.5" hidden="1" x14ac:dyDescent="0.3">
      <c r="A82" s="148"/>
      <c r="B82" s="149"/>
      <c r="C82" s="149"/>
      <c r="D82" s="154" t="s">
        <v>37</v>
      </c>
      <c r="E82" s="155"/>
      <c r="F82" s="155"/>
      <c r="G82" s="153"/>
      <c r="H82" s="156" t="s">
        <v>32</v>
      </c>
      <c r="I82" s="157">
        <f ca="1">I84+I86+I88</f>
        <v>0</v>
      </c>
      <c r="J82" s="157">
        <f>J84+J86+J88</f>
        <v>0</v>
      </c>
      <c r="K82" s="158">
        <f ca="1">IF(I82&gt;0,J82*100/I82,0)</f>
        <v>0</v>
      </c>
      <c r="L82" s="145"/>
      <c r="M82" s="145"/>
      <c r="N82" s="145"/>
      <c r="O82" s="145"/>
      <c r="P82" s="145"/>
    </row>
    <row r="83" spans="1:16" ht="19.5" hidden="1" x14ac:dyDescent="0.3">
      <c r="A83" s="148"/>
      <c r="B83" s="149"/>
      <c r="C83" s="149"/>
      <c r="D83" s="149"/>
      <c r="E83" s="155"/>
      <c r="F83" s="155"/>
      <c r="G83" s="153"/>
      <c r="H83" s="156" t="s">
        <v>33</v>
      </c>
      <c r="I83" s="157">
        <f ca="1">I85+I87+I89</f>
        <v>0</v>
      </c>
      <c r="J83" s="157">
        <f>J85+J87+J89</f>
        <v>0</v>
      </c>
      <c r="K83" s="158">
        <f ca="1">IF(I83&gt;0,J83*100/I83,0)</f>
        <v>0</v>
      </c>
      <c r="L83" s="145"/>
      <c r="M83" s="145"/>
      <c r="N83" s="145"/>
      <c r="O83" s="145"/>
      <c r="P83" s="145"/>
    </row>
    <row r="84" spans="1:16" ht="18.75" hidden="1" x14ac:dyDescent="0.25">
      <c r="A84" s="148"/>
      <c r="B84" s="149"/>
      <c r="C84" s="149"/>
      <c r="D84" s="149"/>
      <c r="E84" s="159" t="s">
        <v>38</v>
      </c>
      <c r="F84" s="155"/>
      <c r="G84" s="153"/>
      <c r="H84" s="251" t="s">
        <v>32</v>
      </c>
      <c r="I84" s="161">
        <f ca="1">IFERROR(__xludf.DUMMYFUNCTION("IMPORTRANGE(""https://docs.google.com/spreadsheets/d/1eHaY18a8A9IcSdp1K8H6x8fbOy06t2VsZHhMHf-1x7Y/edit?usp=sharing"",""แผน!H22"")"),0)</f>
        <v>0</v>
      </c>
      <c r="J84" s="250">
        <v>0</v>
      </c>
      <c r="K84" s="163">
        <f ca="1">IF(I84&gt;0,J84*100/I84,0)</f>
        <v>0</v>
      </c>
      <c r="L84" s="145"/>
      <c r="M84" s="145"/>
      <c r="N84" s="145"/>
      <c r="O84" s="145"/>
      <c r="P84" s="145"/>
    </row>
    <row r="85" spans="1:16" ht="18.75" hidden="1" x14ac:dyDescent="0.25">
      <c r="A85" s="148"/>
      <c r="B85" s="149"/>
      <c r="C85" s="149"/>
      <c r="D85" s="149"/>
      <c r="E85" s="155"/>
      <c r="F85" s="155"/>
      <c r="G85" s="153"/>
      <c r="H85" s="251" t="s">
        <v>33</v>
      </c>
      <c r="I85" s="161">
        <f ca="1">IFERROR(__xludf.DUMMYFUNCTION("IMPORTRANGE(""https://docs.google.com/spreadsheets/d/1eHaY18a8A9IcSdp1K8H6x8fbOy06t2VsZHhMHf-1x7Y/edit?usp=sharing"",""แผน!I22"")"),0)</f>
        <v>0</v>
      </c>
      <c r="J85" s="250">
        <v>0</v>
      </c>
      <c r="K85" s="163">
        <f ca="1">IF(I85&gt;0,J85*100/I85,0)</f>
        <v>0</v>
      </c>
      <c r="L85" s="145"/>
      <c r="M85" s="145"/>
      <c r="N85" s="145"/>
      <c r="O85" s="145"/>
      <c r="P85" s="145"/>
    </row>
    <row r="86" spans="1:16" ht="18.75" hidden="1" x14ac:dyDescent="0.25">
      <c r="A86" s="148"/>
      <c r="B86" s="149"/>
      <c r="C86" s="149"/>
      <c r="D86" s="149"/>
      <c r="E86" s="159" t="s">
        <v>39</v>
      </c>
      <c r="F86" s="155"/>
      <c r="G86" s="153"/>
      <c r="H86" s="251" t="s">
        <v>32</v>
      </c>
      <c r="I86" s="161">
        <f ca="1">IFERROR(__xludf.DUMMYFUNCTION("IMPORTRANGE(""https://docs.google.com/spreadsheets/d/1eHaY18a8A9IcSdp1K8H6x8fbOy06t2VsZHhMHf-1x7Y/edit?usp=sharing"",""แผน!F22"")"),0)</f>
        <v>0</v>
      </c>
      <c r="J86" s="250">
        <v>0</v>
      </c>
      <c r="K86" s="163">
        <f ca="1">IF(I86&gt;0,J86*100/I86,0)</f>
        <v>0</v>
      </c>
      <c r="L86" s="145"/>
      <c r="M86" s="145"/>
      <c r="N86" s="145"/>
      <c r="O86" s="145"/>
      <c r="P86" s="145"/>
    </row>
    <row r="87" spans="1:16" ht="18.75" hidden="1" x14ac:dyDescent="0.25">
      <c r="A87" s="148"/>
      <c r="B87" s="149"/>
      <c r="C87" s="149"/>
      <c r="D87" s="149"/>
      <c r="E87" s="155"/>
      <c r="F87" s="155"/>
      <c r="G87" s="153"/>
      <c r="H87" s="251" t="s">
        <v>33</v>
      </c>
      <c r="I87" s="161">
        <f ca="1">IFERROR(__xludf.DUMMYFUNCTION("IMPORTRANGE(""https://docs.google.com/spreadsheets/d/1eHaY18a8A9IcSdp1K8H6x8fbOy06t2VsZHhMHf-1x7Y/edit?usp=sharing"",""แผน!G22"")"),0)</f>
        <v>0</v>
      </c>
      <c r="J87" s="250">
        <v>0</v>
      </c>
      <c r="K87" s="163">
        <f ca="1">IF(I87&gt;0,J87*100/I87,0)</f>
        <v>0</v>
      </c>
      <c r="L87" s="145"/>
      <c r="M87" s="145"/>
      <c r="N87" s="145"/>
      <c r="O87" s="145"/>
      <c r="P87" s="145"/>
    </row>
    <row r="88" spans="1:16" ht="18.75" hidden="1" x14ac:dyDescent="0.25">
      <c r="A88" s="148"/>
      <c r="B88" s="149"/>
      <c r="C88" s="149"/>
      <c r="D88" s="149"/>
      <c r="E88" s="159" t="s">
        <v>40</v>
      </c>
      <c r="F88" s="155"/>
      <c r="G88" s="153"/>
      <c r="H88" s="251" t="s">
        <v>32</v>
      </c>
      <c r="I88" s="161">
        <f ca="1">IFERROR(__xludf.DUMMYFUNCTION("IMPORTRANGE(""https://docs.google.com/spreadsheets/d/1eHaY18a8A9IcSdp1K8H6x8fbOy06t2VsZHhMHf-1x7Y/edit?usp=sharing"",""แผน!D22"")"),0)</f>
        <v>0</v>
      </c>
      <c r="J88" s="250">
        <v>0</v>
      </c>
      <c r="K88" s="163">
        <f ca="1">IF(I88&gt;0,J88*100/I88,0)</f>
        <v>0</v>
      </c>
      <c r="L88" s="145"/>
      <c r="M88" s="145"/>
      <c r="N88" s="145"/>
      <c r="O88" s="145"/>
      <c r="P88" s="145"/>
    </row>
    <row r="89" spans="1:16" ht="18.75" hidden="1" x14ac:dyDescent="0.25">
      <c r="A89" s="148"/>
      <c r="B89" s="149"/>
      <c r="C89" s="149"/>
      <c r="D89" s="149"/>
      <c r="E89" s="155"/>
      <c r="F89" s="155"/>
      <c r="G89" s="153"/>
      <c r="H89" s="251" t="s">
        <v>33</v>
      </c>
      <c r="I89" s="161">
        <f ca="1">IFERROR(__xludf.DUMMYFUNCTION("IMPORTRANGE(""https://docs.google.com/spreadsheets/d/1eHaY18a8A9IcSdp1K8H6x8fbOy06t2VsZHhMHf-1x7Y/edit?usp=sharing"",""แผน!E22"")"),0)</f>
        <v>0</v>
      </c>
      <c r="J89" s="250">
        <v>0</v>
      </c>
      <c r="K89" s="163">
        <f ca="1">IF(I89&gt;0,J89*100/I89,0)</f>
        <v>0</v>
      </c>
      <c r="L89" s="145"/>
      <c r="M89" s="145"/>
      <c r="N89" s="145"/>
      <c r="O89" s="145"/>
      <c r="P89" s="145"/>
    </row>
    <row r="90" spans="1:16" ht="18.75" hidden="1" x14ac:dyDescent="0.25">
      <c r="A90" s="148"/>
      <c r="B90" s="149"/>
      <c r="C90" s="149"/>
      <c r="D90" s="154" t="s">
        <v>41</v>
      </c>
      <c r="E90" s="155"/>
      <c r="F90" s="155"/>
      <c r="G90" s="153"/>
      <c r="H90" s="164" t="s">
        <v>32</v>
      </c>
      <c r="I90" s="161">
        <f ca="1">IFERROR(__xludf.DUMMYFUNCTION("IMPORTRANGE(""https://docs.google.com/spreadsheets/d/1eHaY18a8A9IcSdp1K8H6x8fbOy06t2VsZHhMHf-1x7Y/edit?usp=sharing"",""แผน!J22"")"),0)</f>
        <v>0</v>
      </c>
      <c r="J90" s="250">
        <v>0</v>
      </c>
      <c r="K90" s="163">
        <f ca="1">IF(I90&gt;0,J90*100/I90,0)</f>
        <v>0</v>
      </c>
      <c r="L90" s="145"/>
      <c r="M90" s="145"/>
      <c r="N90" s="145"/>
      <c r="O90" s="145"/>
      <c r="P90" s="145"/>
    </row>
    <row r="91" spans="1:16" ht="19.5" hidden="1" x14ac:dyDescent="0.3">
      <c r="A91" s="125" t="s">
        <v>42</v>
      </c>
      <c r="B91" s="126"/>
      <c r="C91" s="127"/>
      <c r="D91" s="126"/>
      <c r="E91" s="126"/>
      <c r="F91" s="126"/>
      <c r="G91" s="128"/>
      <c r="H91" s="128"/>
      <c r="I91" s="129"/>
      <c r="J91" s="129"/>
      <c r="K91" s="130"/>
      <c r="L91" s="130"/>
      <c r="M91" s="130"/>
      <c r="N91" s="130"/>
      <c r="O91" s="130"/>
      <c r="P91" s="130"/>
    </row>
    <row r="92" spans="1:16" ht="19.5" hidden="1" x14ac:dyDescent="0.3">
      <c r="A92" s="131"/>
      <c r="B92" s="132" t="s">
        <v>43</v>
      </c>
      <c r="C92" s="26"/>
      <c r="D92" s="133"/>
      <c r="E92" s="26"/>
      <c r="F92" s="26"/>
      <c r="G92" s="29"/>
      <c r="H92" s="134" t="s">
        <v>44</v>
      </c>
      <c r="I92" s="135">
        <f ca="1">I108</f>
        <v>0</v>
      </c>
      <c r="J92" s="135">
        <f>J108</f>
        <v>0</v>
      </c>
      <c r="K92" s="33">
        <f ca="1">IF(I92&gt;0,J92*100/I92,0)</f>
        <v>0</v>
      </c>
      <c r="L92" s="32"/>
      <c r="M92" s="32"/>
      <c r="N92" s="32"/>
      <c r="O92" s="32"/>
      <c r="P92" s="32"/>
    </row>
    <row r="93" spans="1:16" ht="19.5" hidden="1" x14ac:dyDescent="0.3">
      <c r="A93" s="131"/>
      <c r="B93" s="26"/>
      <c r="C93" s="26"/>
      <c r="D93" s="133"/>
      <c r="E93" s="26"/>
      <c r="F93" s="26"/>
      <c r="G93" s="29"/>
      <c r="H93" s="134" t="s">
        <v>33</v>
      </c>
      <c r="I93" s="135">
        <f ca="1">I109</f>
        <v>0</v>
      </c>
      <c r="J93" s="135">
        <f>J109</f>
        <v>0</v>
      </c>
      <c r="K93" s="33">
        <f ca="1">IF(I93&gt;0,J93*100/I93,0)</f>
        <v>0</v>
      </c>
      <c r="L93" s="32"/>
      <c r="M93" s="32"/>
      <c r="N93" s="32"/>
      <c r="O93" s="32"/>
      <c r="P93" s="32"/>
    </row>
    <row r="94" spans="1:16" ht="19.5" hidden="1" x14ac:dyDescent="0.3">
      <c r="A94" s="136"/>
      <c r="B94" s="41"/>
      <c r="C94" s="197" t="s">
        <v>16</v>
      </c>
      <c r="D94" s="397" t="s">
        <v>17</v>
      </c>
      <c r="E94" s="41"/>
      <c r="F94" s="41"/>
      <c r="G94" s="43"/>
      <c r="H94" s="139" t="s">
        <v>12</v>
      </c>
      <c r="I94" s="45"/>
      <c r="J94" s="45"/>
      <c r="K94" s="46"/>
      <c r="L94" s="140">
        <f ca="1">L95+L96</f>
        <v>0</v>
      </c>
      <c r="M94" s="140">
        <f ca="1">M95+M96</f>
        <v>0</v>
      </c>
      <c r="N94" s="140">
        <f ca="1">N95+N96</f>
        <v>0</v>
      </c>
      <c r="O94" s="140">
        <f ca="1">IF(L94&gt;0,N94*100/L94,0)</f>
        <v>0</v>
      </c>
      <c r="P94" s="140">
        <f ca="1">IF(M94&gt;0,N94*100/M94,0)</f>
        <v>0</v>
      </c>
    </row>
    <row r="95" spans="1:16" ht="18.75" hidden="1" x14ac:dyDescent="0.25">
      <c r="A95" s="136"/>
      <c r="B95" s="41"/>
      <c r="C95" s="41"/>
      <c r="D95" s="41"/>
      <c r="E95" s="279" t="s">
        <v>18</v>
      </c>
      <c r="F95" s="41"/>
      <c r="G95" s="43"/>
      <c r="H95" s="141" t="s">
        <v>12</v>
      </c>
      <c r="I95" s="45"/>
      <c r="J95" s="45"/>
      <c r="K95" s="46"/>
      <c r="L95" s="50">
        <f>L98+L101</f>
        <v>0</v>
      </c>
      <c r="M95" s="50">
        <f>M98+M101</f>
        <v>0</v>
      </c>
      <c r="N95" s="50">
        <f>N98+N101</f>
        <v>0</v>
      </c>
      <c r="O95" s="50">
        <f>IF(L95&gt;0,N95*100/L95,0)</f>
        <v>0</v>
      </c>
      <c r="P95" s="50">
        <f>IF(M95&gt;0,N95*100/M95,0)</f>
        <v>0</v>
      </c>
    </row>
    <row r="96" spans="1:16" ht="18.75" hidden="1" x14ac:dyDescent="0.25">
      <c r="A96" s="136"/>
      <c r="B96" s="41"/>
      <c r="C96" s="41"/>
      <c r="D96" s="41"/>
      <c r="E96" s="254" t="s">
        <v>19</v>
      </c>
      <c r="F96" s="41"/>
      <c r="G96" s="43"/>
      <c r="H96" s="142" t="s">
        <v>12</v>
      </c>
      <c r="I96" s="45"/>
      <c r="J96" s="45"/>
      <c r="K96" s="46"/>
      <c r="L96" s="47">
        <f ca="1">L99+L102</f>
        <v>0</v>
      </c>
      <c r="M96" s="47">
        <f ca="1">M99+M102</f>
        <v>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</row>
    <row r="97" spans="1:16" ht="18.75" hidden="1" x14ac:dyDescent="0.25">
      <c r="A97" s="136"/>
      <c r="B97" s="41"/>
      <c r="C97" s="41"/>
      <c r="D97" s="42" t="s">
        <v>20</v>
      </c>
      <c r="E97" s="41"/>
      <c r="F97" s="41"/>
      <c r="G97" s="43"/>
      <c r="H97" s="143" t="s">
        <v>12</v>
      </c>
      <c r="I97" s="144"/>
      <c r="J97" s="144"/>
      <c r="K97" s="145"/>
      <c r="L97" s="47">
        <f ca="1">L98+L99</f>
        <v>0</v>
      </c>
      <c r="M97" s="47">
        <f ca="1">M98+M99</f>
        <v>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</row>
    <row r="98" spans="1:16" ht="18.75" hidden="1" x14ac:dyDescent="0.25">
      <c r="A98" s="136"/>
      <c r="B98" s="41"/>
      <c r="C98" s="41"/>
      <c r="D98" s="41"/>
      <c r="E98" s="279" t="s">
        <v>34</v>
      </c>
      <c r="F98" s="41"/>
      <c r="G98" s="43"/>
      <c r="H98" s="146" t="s">
        <v>12</v>
      </c>
      <c r="I98" s="144"/>
      <c r="J98" s="144"/>
      <c r="K98" s="145"/>
      <c r="L98" s="50">
        <v>0</v>
      </c>
      <c r="M98" s="50">
        <v>0</v>
      </c>
      <c r="N98" s="50">
        <v>0</v>
      </c>
      <c r="O98" s="50">
        <f>IF(L98&gt;0,N98*100/L98,0)</f>
        <v>0</v>
      </c>
      <c r="P98" s="50">
        <f>IF(M98&gt;0,N98*100/M98,0)</f>
        <v>0</v>
      </c>
    </row>
    <row r="99" spans="1:16" ht="18.75" hidden="1" x14ac:dyDescent="0.25">
      <c r="A99" s="136"/>
      <c r="B99" s="41"/>
      <c r="C99" s="41"/>
      <c r="D99" s="41"/>
      <c r="E99" s="254" t="s">
        <v>35</v>
      </c>
      <c r="F99" s="41"/>
      <c r="G99" s="43"/>
      <c r="H99" s="143" t="s">
        <v>12</v>
      </c>
      <c r="I99" s="144"/>
      <c r="J99" s="144"/>
      <c r="K99" s="145"/>
      <c r="L99" s="47">
        <f ca="1">IFERROR(__xludf.DUMMYFUNCTION("IMPORTRANGE(""https://docs.google.com/spreadsheets/d/1-uDff_7J0KD5mKrp0Vvzr7lt3OU09vwQwhkpOPPYv2Y/edit?usp=sharing"",""งบพรบ!AW22"")"),0)</f>
        <v>0</v>
      </c>
      <c r="M99" s="47">
        <f ca="1">IFERROR(__xludf.DUMMYFUNCTION("IMPORTRANGE(""https://docs.google.com/spreadsheets/d/1-uDff_7J0KD5mKrp0Vvzr7lt3OU09vwQwhkpOPPYv2Y/edit?usp=sharing"",""งบพรบ!BB22"")"),0)</f>
        <v>0</v>
      </c>
      <c r="N99" s="47">
        <f ca="1">IFERROR(__xludf.DUMMYFUNCTION("IMPORTRANGE(""https://docs.google.com/spreadsheets/d/1-uDff_7J0KD5mKrp0Vvzr7lt3OU09vwQwhkpOPPYv2Y/edit?usp=sharing"",""งบพรบ!BD22"")"),0)</f>
        <v>0</v>
      </c>
      <c r="O99" s="47">
        <f ca="1">IF(L99&gt;0,N99*100/L99,0)</f>
        <v>0</v>
      </c>
      <c r="P99" s="47">
        <f ca="1">IF(M99&gt;0,N99*100/M99,0)</f>
        <v>0</v>
      </c>
    </row>
    <row r="100" spans="1:16" ht="18.75" hidden="1" x14ac:dyDescent="0.25">
      <c r="A100" s="136"/>
      <c r="B100" s="41"/>
      <c r="C100" s="41"/>
      <c r="D100" s="42" t="s">
        <v>21</v>
      </c>
      <c r="E100" s="41"/>
      <c r="F100" s="41"/>
      <c r="G100" s="43"/>
      <c r="H100" s="147" t="s">
        <v>12</v>
      </c>
      <c r="I100" s="144"/>
      <c r="J100" s="144"/>
      <c r="K100" s="145"/>
      <c r="L100" s="47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</row>
    <row r="101" spans="1:16" ht="18.75" hidden="1" x14ac:dyDescent="0.25">
      <c r="A101" s="136"/>
      <c r="B101" s="41"/>
      <c r="C101" s="41"/>
      <c r="D101" s="41"/>
      <c r="E101" s="279" t="s">
        <v>18</v>
      </c>
      <c r="F101" s="41"/>
      <c r="G101" s="43"/>
      <c r="H101" s="146" t="s">
        <v>12</v>
      </c>
      <c r="I101" s="144"/>
      <c r="J101" s="144"/>
      <c r="K101" s="145"/>
      <c r="L101" s="50">
        <v>0</v>
      </c>
      <c r="M101" s="50">
        <v>0</v>
      </c>
      <c r="N101" s="50">
        <v>0</v>
      </c>
      <c r="O101" s="50">
        <f>IF(L101&gt;0,N101*100/L101,0)</f>
        <v>0</v>
      </c>
      <c r="P101" s="50">
        <f>IF(M101&gt;0,N101*100/M101,0)</f>
        <v>0</v>
      </c>
    </row>
    <row r="102" spans="1:16" ht="18.75" hidden="1" x14ac:dyDescent="0.25">
      <c r="A102" s="136"/>
      <c r="B102" s="41"/>
      <c r="C102" s="41"/>
      <c r="D102" s="41"/>
      <c r="E102" s="254" t="s">
        <v>19</v>
      </c>
      <c r="F102" s="41"/>
      <c r="G102" s="43"/>
      <c r="H102" s="147" t="s">
        <v>12</v>
      </c>
      <c r="I102" s="144"/>
      <c r="J102" s="144"/>
      <c r="K102" s="145"/>
      <c r="L102" s="47">
        <f ca="1">IFERROR(__xludf.DUMMYFUNCTION("IMPORTRANGE(""https://docs.google.com/spreadsheets/d/1-uDff_7J0KD5mKrp0Vvzr7lt3OU09vwQwhkpOPPYv2Y/edit?usp=sharing"",""งบพรบ!AZ22"")"),0)</f>
        <v>0</v>
      </c>
      <c r="M102" s="47">
        <f ca="1">IFERROR(__xludf.DUMMYFUNCTION("IMPORTRANGE(""https://docs.google.com/spreadsheets/d/1-uDff_7J0KD5mKrp0Vvzr7lt3OU09vwQwhkpOPPYv2Y/edit?usp=sharing"",""งบพรบ!BC22"")"),0)</f>
        <v>0</v>
      </c>
      <c r="N102" s="47">
        <f ca="1">IFERROR(__xludf.DUMMYFUNCTION("IMPORTRANGE(""https://docs.google.com/spreadsheets/d/1-uDff_7J0KD5mKrp0Vvzr7lt3OU09vwQwhkpOPPYv2Y/edit?usp=sharing"",""งบพรบ!BE22"")"),0)</f>
        <v>0</v>
      </c>
      <c r="O102" s="47">
        <f ca="1">IF(L102&gt;0,N102*100/L102,0)</f>
        <v>0</v>
      </c>
      <c r="P102" s="47">
        <f ca="1">IF(M102&gt;0,N102*100/M102,0)</f>
        <v>0</v>
      </c>
    </row>
    <row r="103" spans="1:16" ht="19.5" hidden="1" x14ac:dyDescent="0.3">
      <c r="A103" s="148"/>
      <c r="B103" s="149"/>
      <c r="C103" s="197" t="s">
        <v>16</v>
      </c>
      <c r="D103" s="395" t="s">
        <v>36</v>
      </c>
      <c r="E103" s="151"/>
      <c r="F103" s="151"/>
      <c r="G103" s="152"/>
      <c r="H103" s="153"/>
      <c r="I103" s="144"/>
      <c r="J103" s="45"/>
      <c r="K103" s="46"/>
      <c r="L103" s="46"/>
      <c r="M103" s="46"/>
      <c r="N103" s="46"/>
      <c r="O103" s="145"/>
      <c r="P103" s="145"/>
    </row>
    <row r="104" spans="1:16" ht="12.75" hidden="1" x14ac:dyDescent="0.2">
      <c r="A104" s="165"/>
      <c r="B104" s="166"/>
      <c r="C104" s="166"/>
      <c r="D104" s="16"/>
      <c r="E104" s="16"/>
      <c r="F104" s="16"/>
      <c r="G104" s="17"/>
      <c r="H104" s="17"/>
      <c r="I104" s="18"/>
      <c r="J104" s="18"/>
      <c r="K104" s="19"/>
      <c r="L104" s="19"/>
      <c r="M104" s="19"/>
      <c r="N104" s="19"/>
      <c r="O104" s="19"/>
      <c r="P104" s="19"/>
    </row>
    <row r="105" spans="1:16" ht="12.75" hidden="1" x14ac:dyDescent="0.2">
      <c r="A105" s="165"/>
      <c r="B105" s="166"/>
      <c r="C105" s="166"/>
      <c r="D105" s="16"/>
      <c r="E105" s="16"/>
      <c r="F105" s="16"/>
      <c r="G105" s="17"/>
      <c r="H105" s="17"/>
      <c r="I105" s="18"/>
      <c r="J105" s="18"/>
      <c r="K105" s="19"/>
      <c r="L105" s="19"/>
      <c r="M105" s="19"/>
      <c r="N105" s="19"/>
      <c r="O105" s="19"/>
      <c r="P105" s="19"/>
    </row>
    <row r="106" spans="1:16" ht="12.75" hidden="1" x14ac:dyDescent="0.2">
      <c r="A106" s="165"/>
      <c r="B106" s="166"/>
      <c r="C106" s="166"/>
      <c r="D106" s="166"/>
      <c r="E106" s="16"/>
      <c r="F106" s="16"/>
      <c r="G106" s="17"/>
      <c r="H106" s="17"/>
      <c r="I106" s="18"/>
      <c r="J106" s="18"/>
      <c r="K106" s="19"/>
      <c r="L106" s="19"/>
      <c r="M106" s="19"/>
      <c r="N106" s="19"/>
      <c r="O106" s="19"/>
      <c r="P106" s="19"/>
    </row>
    <row r="107" spans="1:16" ht="19.5" hidden="1" x14ac:dyDescent="0.3">
      <c r="A107" s="148"/>
      <c r="B107" s="149"/>
      <c r="C107" s="149"/>
      <c r="D107" s="167" t="s">
        <v>45</v>
      </c>
      <c r="E107" s="168"/>
      <c r="F107" s="155"/>
      <c r="G107" s="153"/>
      <c r="H107" s="43"/>
      <c r="I107" s="45"/>
      <c r="J107" s="45"/>
      <c r="K107" s="46"/>
      <c r="L107" s="46"/>
      <c r="M107" s="46"/>
      <c r="N107" s="46"/>
      <c r="O107" s="145"/>
      <c r="P107" s="145"/>
    </row>
    <row r="108" spans="1:16" ht="18.75" hidden="1" x14ac:dyDescent="0.25">
      <c r="A108" s="148"/>
      <c r="B108" s="149"/>
      <c r="C108" s="149"/>
      <c r="D108" s="159" t="s">
        <v>46</v>
      </c>
      <c r="E108" s="155"/>
      <c r="F108" s="155"/>
      <c r="G108" s="153"/>
      <c r="H108" s="44" t="s">
        <v>44</v>
      </c>
      <c r="I108" s="169">
        <f ca="1">IFERROR(__xludf.DUMMYFUNCTION("IMPORTRANGE(""https://docs.google.com/spreadsheets/d/1eHaY18a8A9IcSdp1K8H6x8fbOy06t2VsZHhMHf-1x7Y/edit?usp=sharing"",""แผน!N22"")"),0)</f>
        <v>0</v>
      </c>
      <c r="J108" s="250">
        <v>0</v>
      </c>
      <c r="K108" s="47">
        <f ca="1">IF(I108&gt;0,J108*100/I108,0)</f>
        <v>0</v>
      </c>
      <c r="L108" s="46"/>
      <c r="M108" s="46"/>
      <c r="N108" s="46"/>
      <c r="O108" s="145"/>
      <c r="P108" s="145"/>
    </row>
    <row r="109" spans="1:16" ht="18.75" hidden="1" x14ac:dyDescent="0.25">
      <c r="A109" s="148"/>
      <c r="B109" s="149"/>
      <c r="C109" s="149"/>
      <c r="D109" s="159" t="s">
        <v>47</v>
      </c>
      <c r="E109" s="155"/>
      <c r="F109" s="155"/>
      <c r="G109" s="153"/>
      <c r="H109" s="44" t="s">
        <v>33</v>
      </c>
      <c r="I109" s="169">
        <f ca="1">IFERROR(__xludf.DUMMYFUNCTION("IMPORTRANGE(""https://docs.google.com/spreadsheets/d/1eHaY18a8A9IcSdp1K8H6x8fbOy06t2VsZHhMHf-1x7Y/edit?usp=sharing"",""แผน!O22"")"),0)</f>
        <v>0</v>
      </c>
      <c r="J109" s="250">
        <v>0</v>
      </c>
      <c r="K109" s="47">
        <f ca="1">IF(I109&gt;0,J109*100/I109,0)</f>
        <v>0</v>
      </c>
      <c r="L109" s="46"/>
      <c r="M109" s="46"/>
      <c r="N109" s="46"/>
      <c r="O109" s="145"/>
      <c r="P109" s="145"/>
    </row>
    <row r="110" spans="1:16" ht="12.75" hidden="1" x14ac:dyDescent="0.2">
      <c r="A110" s="165"/>
      <c r="B110" s="166"/>
      <c r="C110" s="166"/>
      <c r="D110" s="16"/>
      <c r="E110" s="16"/>
      <c r="F110" s="16"/>
      <c r="G110" s="17"/>
      <c r="H110" s="17"/>
      <c r="I110" s="18"/>
      <c r="J110" s="18"/>
      <c r="K110" s="19"/>
      <c r="L110" s="19"/>
      <c r="M110" s="19"/>
      <c r="N110" s="19"/>
      <c r="O110" s="19"/>
      <c r="P110" s="19"/>
    </row>
    <row r="111" spans="1:16" ht="12.75" hidden="1" x14ac:dyDescent="0.2">
      <c r="A111" s="165"/>
      <c r="B111" s="166"/>
      <c r="C111" s="166"/>
      <c r="D111" s="16"/>
      <c r="E111" s="16"/>
      <c r="F111" s="16"/>
      <c r="G111" s="17"/>
      <c r="H111" s="17"/>
      <c r="I111" s="18"/>
      <c r="J111" s="18"/>
      <c r="K111" s="19"/>
      <c r="L111" s="19"/>
      <c r="M111" s="19"/>
      <c r="N111" s="19"/>
      <c r="O111" s="19"/>
      <c r="P111" s="19"/>
    </row>
    <row r="112" spans="1:16" ht="12.75" hidden="1" x14ac:dyDescent="0.2">
      <c r="A112" s="165"/>
      <c r="B112" s="166"/>
      <c r="C112" s="166"/>
      <c r="D112" s="16"/>
      <c r="E112" s="16"/>
      <c r="F112" s="16"/>
      <c r="G112" s="17"/>
      <c r="H112" s="17"/>
      <c r="I112" s="18"/>
      <c r="J112" s="18"/>
      <c r="K112" s="19"/>
      <c r="L112" s="19"/>
      <c r="M112" s="19"/>
      <c r="N112" s="19"/>
      <c r="O112" s="19"/>
      <c r="P112" s="19"/>
    </row>
    <row r="113" spans="1:16" ht="12.75" hidden="1" x14ac:dyDescent="0.2">
      <c r="A113" s="165"/>
      <c r="B113" s="166"/>
      <c r="C113" s="166"/>
      <c r="D113" s="16"/>
      <c r="E113" s="16"/>
      <c r="F113" s="16"/>
      <c r="G113" s="17"/>
      <c r="H113" s="17"/>
      <c r="I113" s="18"/>
      <c r="J113" s="18"/>
      <c r="K113" s="19"/>
      <c r="L113" s="19"/>
      <c r="M113" s="19"/>
      <c r="N113" s="19"/>
      <c r="O113" s="19"/>
      <c r="P113" s="19"/>
    </row>
    <row r="114" spans="1:16" ht="12.75" hidden="1" x14ac:dyDescent="0.2">
      <c r="A114" s="165"/>
      <c r="B114" s="166"/>
      <c r="C114" s="166"/>
      <c r="D114" s="16"/>
      <c r="E114" s="16"/>
      <c r="F114" s="16"/>
      <c r="G114" s="17"/>
      <c r="H114" s="17"/>
      <c r="I114" s="18"/>
      <c r="J114" s="18"/>
      <c r="K114" s="19"/>
      <c r="L114" s="19"/>
      <c r="M114" s="19"/>
      <c r="N114" s="19"/>
      <c r="O114" s="19"/>
      <c r="P114" s="19"/>
    </row>
    <row r="115" spans="1:16" ht="12.75" hidden="1" x14ac:dyDescent="0.2">
      <c r="A115" s="165"/>
      <c r="B115" s="166"/>
      <c r="C115" s="166"/>
      <c r="D115" s="16"/>
      <c r="E115" s="16"/>
      <c r="F115" s="16"/>
      <c r="G115" s="17"/>
      <c r="H115" s="17"/>
      <c r="I115" s="18"/>
      <c r="J115" s="18"/>
      <c r="K115" s="19"/>
      <c r="L115" s="19"/>
      <c r="M115" s="19"/>
      <c r="N115" s="19"/>
      <c r="O115" s="19"/>
      <c r="P115" s="19"/>
    </row>
    <row r="116" spans="1:16" ht="12.75" hidden="1" x14ac:dyDescent="0.2">
      <c r="A116" s="165"/>
      <c r="B116" s="166"/>
      <c r="C116" s="166"/>
      <c r="D116" s="16"/>
      <c r="E116" s="16"/>
      <c r="F116" s="16"/>
      <c r="G116" s="17"/>
      <c r="H116" s="17"/>
      <c r="I116" s="18"/>
      <c r="J116" s="18"/>
      <c r="K116" s="19"/>
      <c r="L116" s="19"/>
      <c r="M116" s="19"/>
      <c r="N116" s="19"/>
      <c r="O116" s="19"/>
      <c r="P116" s="19"/>
    </row>
    <row r="117" spans="1:16" ht="18.75" hidden="1" x14ac:dyDescent="0.25">
      <c r="A117" s="148"/>
      <c r="B117" s="149"/>
      <c r="C117" s="149"/>
      <c r="D117" s="159" t="s">
        <v>48</v>
      </c>
      <c r="E117" s="155"/>
      <c r="F117" s="155"/>
      <c r="G117" s="153"/>
      <c r="H117" s="251" t="s">
        <v>33</v>
      </c>
      <c r="I117" s="161">
        <f ca="1">IFERROR(__xludf.DUMMYFUNCTION("IMPORTRANGE(""https://docs.google.com/spreadsheets/d/1eHaY18a8A9IcSdp1K8H6x8fbOy06t2VsZHhMHf-1x7Y/edit?usp=sharing"",""แผน!R22"")"),0)</f>
        <v>0</v>
      </c>
      <c r="J117" s="250">
        <v>0</v>
      </c>
      <c r="K117" s="47">
        <f ca="1">IF(I117&gt;0,J117*100/I117,0)</f>
        <v>0</v>
      </c>
      <c r="L117" s="46"/>
      <c r="M117" s="46"/>
      <c r="N117" s="46"/>
      <c r="O117" s="145"/>
      <c r="P117" s="145"/>
    </row>
    <row r="118" spans="1:16" ht="12.75" hidden="1" x14ac:dyDescent="0.2">
      <c r="A118" s="165"/>
      <c r="B118" s="166"/>
      <c r="C118" s="166"/>
      <c r="D118" s="166"/>
      <c r="E118" s="16"/>
      <c r="F118" s="16"/>
      <c r="G118" s="17"/>
      <c r="H118" s="17"/>
      <c r="I118" s="18"/>
      <c r="J118" s="18"/>
      <c r="K118" s="19"/>
      <c r="L118" s="19"/>
      <c r="M118" s="19"/>
      <c r="N118" s="19"/>
      <c r="O118" s="19"/>
      <c r="P118" s="19"/>
    </row>
    <row r="119" spans="1:16" ht="12.75" hidden="1" x14ac:dyDescent="0.2">
      <c r="A119" s="165"/>
      <c r="B119" s="166"/>
      <c r="C119" s="166"/>
      <c r="D119" s="166"/>
      <c r="E119" s="16"/>
      <c r="F119" s="16"/>
      <c r="G119" s="17"/>
      <c r="H119" s="17"/>
      <c r="I119" s="18"/>
      <c r="J119" s="18"/>
      <c r="K119" s="19"/>
      <c r="L119" s="19"/>
      <c r="M119" s="19"/>
      <c r="N119" s="19"/>
      <c r="O119" s="19"/>
      <c r="P119" s="19"/>
    </row>
    <row r="120" spans="1:16" ht="12.75" hidden="1" x14ac:dyDescent="0.2">
      <c r="A120" s="165"/>
      <c r="B120" s="166"/>
      <c r="C120" s="166"/>
      <c r="D120" s="166"/>
      <c r="E120" s="16"/>
      <c r="F120" s="16"/>
      <c r="G120" s="17"/>
      <c r="H120" s="17"/>
      <c r="I120" s="18"/>
      <c r="J120" s="18"/>
      <c r="K120" s="19"/>
      <c r="L120" s="19"/>
      <c r="M120" s="19"/>
      <c r="N120" s="19"/>
      <c r="O120" s="19"/>
      <c r="P120" s="19"/>
    </row>
    <row r="121" spans="1:16" ht="12.75" hidden="1" x14ac:dyDescent="0.2">
      <c r="A121" s="165"/>
      <c r="B121" s="166"/>
      <c r="C121" s="166"/>
      <c r="D121" s="166"/>
      <c r="E121" s="16"/>
      <c r="F121" s="16"/>
      <c r="G121" s="17"/>
      <c r="H121" s="17"/>
      <c r="I121" s="18"/>
      <c r="J121" s="18"/>
      <c r="K121" s="19"/>
      <c r="L121" s="19"/>
      <c r="M121" s="19"/>
      <c r="N121" s="19"/>
      <c r="O121" s="19"/>
      <c r="P121" s="19"/>
    </row>
    <row r="122" spans="1:16" ht="12.75" hidden="1" x14ac:dyDescent="0.2">
      <c r="A122" s="165"/>
      <c r="B122" s="166"/>
      <c r="C122" s="166"/>
      <c r="D122" s="166"/>
      <c r="E122" s="16"/>
      <c r="F122" s="16"/>
      <c r="G122" s="17"/>
      <c r="H122" s="17"/>
      <c r="I122" s="18"/>
      <c r="J122" s="18"/>
      <c r="K122" s="19"/>
      <c r="L122" s="19"/>
      <c r="M122" s="19"/>
      <c r="N122" s="19"/>
      <c r="O122" s="19"/>
      <c r="P122" s="19"/>
    </row>
    <row r="123" spans="1:16" ht="19.5" hidden="1" x14ac:dyDescent="0.3">
      <c r="A123" s="170" t="s">
        <v>49</v>
      </c>
      <c r="B123" s="16"/>
      <c r="C123" s="171"/>
      <c r="D123" s="16"/>
      <c r="E123" s="16"/>
      <c r="F123" s="16"/>
      <c r="G123" s="16"/>
      <c r="H123" s="16"/>
      <c r="I123" s="172"/>
      <c r="J123" s="172"/>
      <c r="K123" s="173"/>
      <c r="L123" s="19"/>
      <c r="M123" s="19"/>
      <c r="N123" s="19"/>
      <c r="O123" s="19"/>
      <c r="P123" s="19"/>
    </row>
    <row r="124" spans="1:16" ht="19.5" hidden="1" x14ac:dyDescent="0.3">
      <c r="A124" s="174"/>
      <c r="B124" s="178" t="s">
        <v>50</v>
      </c>
      <c r="C124" s="171"/>
      <c r="D124" s="166"/>
      <c r="E124" s="16"/>
      <c r="F124" s="16"/>
      <c r="G124" s="17"/>
      <c r="H124" s="17"/>
      <c r="I124" s="176">
        <v>0</v>
      </c>
      <c r="J124" s="176">
        <v>0</v>
      </c>
      <c r="K124" s="177">
        <v>0</v>
      </c>
      <c r="L124" s="19"/>
      <c r="M124" s="19"/>
      <c r="N124" s="19"/>
      <c r="O124" s="19"/>
      <c r="P124" s="19"/>
    </row>
    <row r="125" spans="1:16" ht="19.5" hidden="1" x14ac:dyDescent="0.3">
      <c r="A125" s="174"/>
      <c r="B125" s="16"/>
      <c r="C125" s="178" t="s">
        <v>16</v>
      </c>
      <c r="D125" s="402" t="s">
        <v>17</v>
      </c>
      <c r="E125" s="16"/>
      <c r="F125" s="16"/>
      <c r="G125" s="17"/>
      <c r="H125" s="180" t="s">
        <v>12</v>
      </c>
      <c r="I125" s="18"/>
      <c r="J125" s="18"/>
      <c r="K125" s="19"/>
      <c r="L125" s="181">
        <f ca="1">L126+L127</f>
        <v>0</v>
      </c>
      <c r="M125" s="181">
        <f ca="1">M126+M127</f>
        <v>0</v>
      </c>
      <c r="N125" s="181">
        <f ca="1">N126+N127</f>
        <v>0</v>
      </c>
      <c r="O125" s="181">
        <f ca="1">IF(L125&gt;0,N125*100/L125,0)</f>
        <v>0</v>
      </c>
      <c r="P125" s="181">
        <f ca="1">IF(M125&gt;0,N125*100/M125,0)</f>
        <v>0</v>
      </c>
    </row>
    <row r="126" spans="1:16" ht="18.75" hidden="1" x14ac:dyDescent="0.25">
      <c r="A126" s="174"/>
      <c r="B126" s="16"/>
      <c r="C126" s="16"/>
      <c r="D126" s="16"/>
      <c r="E126" s="182" t="s">
        <v>18</v>
      </c>
      <c r="F126" s="16"/>
      <c r="G126" s="17"/>
      <c r="H126" s="183" t="s">
        <v>12</v>
      </c>
      <c r="I126" s="18"/>
      <c r="J126" s="18"/>
      <c r="K126" s="19"/>
      <c r="L126" s="184">
        <f>L129+L132</f>
        <v>0</v>
      </c>
      <c r="M126" s="184">
        <f>M129+M132</f>
        <v>0</v>
      </c>
      <c r="N126" s="184">
        <f>N129+N132</f>
        <v>0</v>
      </c>
      <c r="O126" s="184">
        <f>IF(L126&gt;0,N126*100/L126,0)</f>
        <v>0</v>
      </c>
      <c r="P126" s="184">
        <f>IF(M126&gt;0,N126*100/M126,0)</f>
        <v>0</v>
      </c>
    </row>
    <row r="127" spans="1:16" ht="18.75" hidden="1" x14ac:dyDescent="0.25">
      <c r="A127" s="174"/>
      <c r="B127" s="16"/>
      <c r="C127" s="16"/>
      <c r="D127" s="16"/>
      <c r="E127" s="185" t="s">
        <v>19</v>
      </c>
      <c r="F127" s="16"/>
      <c r="G127" s="17"/>
      <c r="H127" s="186" t="s">
        <v>12</v>
      </c>
      <c r="I127" s="18"/>
      <c r="J127" s="18"/>
      <c r="K127" s="19"/>
      <c r="L127" s="177">
        <f ca="1">L130+L133</f>
        <v>0</v>
      </c>
      <c r="M127" s="177">
        <f ca="1">M130+M133</f>
        <v>0</v>
      </c>
      <c r="N127" s="177">
        <f ca="1">N130+N133</f>
        <v>0</v>
      </c>
      <c r="O127" s="177">
        <f ca="1">IF(L127&gt;0,N127*100/L127,0)</f>
        <v>0</v>
      </c>
      <c r="P127" s="177">
        <f ca="1">IF(M127&gt;0,N127*100/M127,0)</f>
        <v>0</v>
      </c>
    </row>
    <row r="128" spans="1:16" ht="18.75" hidden="1" x14ac:dyDescent="0.25">
      <c r="A128" s="174"/>
      <c r="B128" s="16"/>
      <c r="C128" s="16"/>
      <c r="D128" s="401" t="s">
        <v>20</v>
      </c>
      <c r="E128" s="16"/>
      <c r="F128" s="16"/>
      <c r="G128" s="17"/>
      <c r="H128" s="188" t="s">
        <v>12</v>
      </c>
      <c r="I128" s="18"/>
      <c r="J128" s="18"/>
      <c r="K128" s="19"/>
      <c r="L128" s="177">
        <f ca="1">L129+L130</f>
        <v>0</v>
      </c>
      <c r="M128" s="177">
        <f ca="1">M129+M130</f>
        <v>0</v>
      </c>
      <c r="N128" s="177">
        <f ca="1">N129+N130</f>
        <v>0</v>
      </c>
      <c r="O128" s="177">
        <f ca="1">IF(L128&gt;0,N128*100/L128,0)</f>
        <v>0</v>
      </c>
      <c r="P128" s="177">
        <f ca="1">IF(M128&gt;0,N128*100/M128,0)</f>
        <v>0</v>
      </c>
    </row>
    <row r="129" spans="1:16" ht="18.75" hidden="1" x14ac:dyDescent="0.25">
      <c r="A129" s="174"/>
      <c r="B129" s="16"/>
      <c r="C129" s="16"/>
      <c r="D129" s="16"/>
      <c r="E129" s="182" t="s">
        <v>34</v>
      </c>
      <c r="F129" s="16"/>
      <c r="G129" s="17"/>
      <c r="H129" s="189" t="s">
        <v>12</v>
      </c>
      <c r="I129" s="18"/>
      <c r="J129" s="18"/>
      <c r="K129" s="19"/>
      <c r="L129" s="184">
        <v>0</v>
      </c>
      <c r="M129" s="184">
        <v>0</v>
      </c>
      <c r="N129" s="184">
        <v>0</v>
      </c>
      <c r="O129" s="184">
        <f>IF(L129&gt;0,N129*100/L129,0)</f>
        <v>0</v>
      </c>
      <c r="P129" s="184">
        <f>IF(M129&gt;0,N129*100/M129,0)</f>
        <v>0</v>
      </c>
    </row>
    <row r="130" spans="1:16" ht="18.75" hidden="1" x14ac:dyDescent="0.25">
      <c r="A130" s="174"/>
      <c r="B130" s="16"/>
      <c r="C130" s="16"/>
      <c r="D130" s="16"/>
      <c r="E130" s="185" t="s">
        <v>35</v>
      </c>
      <c r="F130" s="16"/>
      <c r="G130" s="17"/>
      <c r="H130" s="188" t="s">
        <v>12</v>
      </c>
      <c r="I130" s="18"/>
      <c r="J130" s="18"/>
      <c r="K130" s="19"/>
      <c r="L130" s="177">
        <f ca="1">IFERROR(__xludf.DUMMYFUNCTION("IMPORTRANGE(""https://docs.google.com/spreadsheets/d/1-uDff_7J0KD5mKrp0Vvzr7lt3OU09vwQwhkpOPPYv2Y/edit?usp=sharing"",""งบพรบ!BG22"")"),0)</f>
        <v>0</v>
      </c>
      <c r="M130" s="177">
        <f ca="1">IFERROR(__xludf.DUMMYFUNCTION("IMPORTRANGE(""https://docs.google.com/spreadsheets/d/1-uDff_7J0KD5mKrp0Vvzr7lt3OU09vwQwhkpOPPYv2Y/edit?usp=sharing"",""งบพรบ!BL22"")"),0)</f>
        <v>0</v>
      </c>
      <c r="N130" s="177">
        <f ca="1">IFERROR(__xludf.DUMMYFUNCTION("IMPORTRANGE(""https://docs.google.com/spreadsheets/d/1-uDff_7J0KD5mKrp0Vvzr7lt3OU09vwQwhkpOPPYv2Y/edit?usp=sharing"",""งบพรบ!BN22"")"),0)</f>
        <v>0</v>
      </c>
      <c r="O130" s="177">
        <f ca="1">IF(L130&gt;0,N130*100/L130,0)</f>
        <v>0</v>
      </c>
      <c r="P130" s="177">
        <f ca="1">IF(M130&gt;0,N130*100/M130,0)</f>
        <v>0</v>
      </c>
    </row>
    <row r="131" spans="1:16" ht="18.75" hidden="1" x14ac:dyDescent="0.25">
      <c r="A131" s="174"/>
      <c r="B131" s="16"/>
      <c r="C131" s="16"/>
      <c r="D131" s="401" t="s">
        <v>21</v>
      </c>
      <c r="E131" s="16"/>
      <c r="F131" s="16"/>
      <c r="G131" s="17"/>
      <c r="H131" s="186" t="s">
        <v>12</v>
      </c>
      <c r="I131" s="18"/>
      <c r="J131" s="18"/>
      <c r="K131" s="19"/>
      <c r="L131" s="177">
        <f ca="1">L132+L133</f>
        <v>0</v>
      </c>
      <c r="M131" s="177">
        <f ca="1">M132+M133</f>
        <v>0</v>
      </c>
      <c r="N131" s="177">
        <f ca="1">N132+N133</f>
        <v>0</v>
      </c>
      <c r="O131" s="177">
        <f ca="1">IF(L131&gt;0,N131*100/L131,0)</f>
        <v>0</v>
      </c>
      <c r="P131" s="177">
        <f ca="1">IF(M131&gt;0,N131*100/M131,0)</f>
        <v>0</v>
      </c>
    </row>
    <row r="132" spans="1:16" ht="18.75" hidden="1" x14ac:dyDescent="0.25">
      <c r="A132" s="174"/>
      <c r="B132" s="16"/>
      <c r="C132" s="16"/>
      <c r="D132" s="16"/>
      <c r="E132" s="182" t="s">
        <v>18</v>
      </c>
      <c r="F132" s="16"/>
      <c r="G132" s="17"/>
      <c r="H132" s="189" t="s">
        <v>12</v>
      </c>
      <c r="I132" s="18"/>
      <c r="J132" s="18"/>
      <c r="K132" s="19"/>
      <c r="L132" s="184">
        <v>0</v>
      </c>
      <c r="M132" s="184">
        <v>0</v>
      </c>
      <c r="N132" s="184">
        <v>0</v>
      </c>
      <c r="O132" s="184">
        <f>IF(L132&gt;0,N132*100/L132,0)</f>
        <v>0</v>
      </c>
      <c r="P132" s="184">
        <f>IF(M132&gt;0,N132*100/M132,0)</f>
        <v>0</v>
      </c>
    </row>
    <row r="133" spans="1:16" ht="18.75" hidden="1" x14ac:dyDescent="0.25">
      <c r="A133" s="174"/>
      <c r="B133" s="16"/>
      <c r="C133" s="16"/>
      <c r="D133" s="16"/>
      <c r="E133" s="185" t="s">
        <v>19</v>
      </c>
      <c r="F133" s="16"/>
      <c r="G133" s="17"/>
      <c r="H133" s="186" t="s">
        <v>12</v>
      </c>
      <c r="I133" s="18"/>
      <c r="J133" s="18"/>
      <c r="K133" s="19"/>
      <c r="L133" s="177">
        <f ca="1">IFERROR(__xludf.DUMMYFUNCTION("IMPORTRANGE(""https://docs.google.com/spreadsheets/d/1-uDff_7J0KD5mKrp0Vvzr7lt3OU09vwQwhkpOPPYv2Y/edit?usp=sharing"",""งบพรบ!BJ22"")"),0)</f>
        <v>0</v>
      </c>
      <c r="M133" s="177">
        <f ca="1">IFERROR(__xludf.DUMMYFUNCTION("IMPORTRANGE(""https://docs.google.com/spreadsheets/d/1-uDff_7J0KD5mKrp0Vvzr7lt3OU09vwQwhkpOPPYv2Y/edit?usp=sharing"",""งบพรบ!BM22"")"),0)</f>
        <v>0</v>
      </c>
      <c r="N133" s="177">
        <f ca="1">IFERROR(__xludf.DUMMYFUNCTION("IMPORTRANGE(""https://docs.google.com/spreadsheets/d/1-uDff_7J0KD5mKrp0Vvzr7lt3OU09vwQwhkpOPPYv2Y/edit?usp=sharing"",""งบพรบ!BO22"")"),0)</f>
        <v>0</v>
      </c>
      <c r="O133" s="177">
        <f ca="1">IF(L133&gt;0,N133*100/L133,0)</f>
        <v>0</v>
      </c>
      <c r="P133" s="177">
        <f ca="1">IF(M133&gt;0,N133*100/M133,0)</f>
        <v>0</v>
      </c>
    </row>
    <row r="134" spans="1:16" ht="19.5" hidden="1" x14ac:dyDescent="0.3">
      <c r="A134" s="125" t="s">
        <v>51</v>
      </c>
      <c r="B134" s="126"/>
      <c r="C134" s="190"/>
      <c r="D134" s="126"/>
      <c r="E134" s="126"/>
      <c r="F134" s="126"/>
      <c r="G134" s="126"/>
      <c r="H134" s="126"/>
      <c r="I134" s="191"/>
      <c r="J134" s="191"/>
      <c r="K134" s="192"/>
      <c r="L134" s="130"/>
      <c r="M134" s="130"/>
      <c r="N134" s="130"/>
      <c r="O134" s="130"/>
      <c r="P134" s="130"/>
    </row>
    <row r="135" spans="1:16" ht="19.5" hidden="1" x14ac:dyDescent="0.3">
      <c r="A135" s="131"/>
      <c r="B135" s="132" t="s">
        <v>52</v>
      </c>
      <c r="C135" s="193"/>
      <c r="D135" s="133"/>
      <c r="E135" s="26"/>
      <c r="F135" s="26"/>
      <c r="G135" s="26"/>
      <c r="H135" s="26"/>
      <c r="I135" s="194"/>
      <c r="J135" s="31"/>
      <c r="K135" s="32"/>
      <c r="L135" s="32"/>
      <c r="M135" s="32"/>
      <c r="N135" s="32"/>
      <c r="O135" s="32"/>
      <c r="P135" s="32"/>
    </row>
    <row r="136" spans="1:16" ht="19.5" hidden="1" x14ac:dyDescent="0.3">
      <c r="A136" s="131"/>
      <c r="B136" s="26"/>
      <c r="C136" s="195" t="s">
        <v>53</v>
      </c>
      <c r="D136" s="133"/>
      <c r="E136" s="26"/>
      <c r="F136" s="26"/>
      <c r="G136" s="29"/>
      <c r="H136" s="134" t="s">
        <v>54</v>
      </c>
      <c r="I136" s="135">
        <f ca="1">I154</f>
        <v>0</v>
      </c>
      <c r="J136" s="135">
        <f>J154</f>
        <v>0</v>
      </c>
      <c r="K136" s="33">
        <f ca="1">IF(I136&gt;0,J136*100/I136,0)</f>
        <v>0</v>
      </c>
      <c r="L136" s="32"/>
      <c r="M136" s="32"/>
      <c r="N136" s="32"/>
      <c r="O136" s="32"/>
      <c r="P136" s="32"/>
    </row>
    <row r="137" spans="1:16" ht="19.5" hidden="1" x14ac:dyDescent="0.3">
      <c r="A137" s="131"/>
      <c r="B137" s="26"/>
      <c r="C137" s="195" t="s">
        <v>55</v>
      </c>
      <c r="D137" s="133"/>
      <c r="E137" s="26"/>
      <c r="F137" s="26"/>
      <c r="G137" s="29"/>
      <c r="H137" s="134" t="s">
        <v>33</v>
      </c>
      <c r="I137" s="135">
        <f ca="1">I152</f>
        <v>0</v>
      </c>
      <c r="J137" s="135">
        <f>J152</f>
        <v>0</v>
      </c>
      <c r="K137" s="33">
        <f ca="1">IF(I137&gt;0,J137*100/I137,0)</f>
        <v>0</v>
      </c>
      <c r="L137" s="32"/>
      <c r="M137" s="32"/>
      <c r="N137" s="32"/>
      <c r="O137" s="32"/>
      <c r="P137" s="32"/>
    </row>
    <row r="138" spans="1:16" ht="19.5" hidden="1" x14ac:dyDescent="0.3">
      <c r="A138" s="131"/>
      <c r="B138" s="26"/>
      <c r="C138" s="193"/>
      <c r="D138" s="133"/>
      <c r="E138" s="26"/>
      <c r="F138" s="26"/>
      <c r="G138" s="29"/>
      <c r="H138" s="134" t="s">
        <v>56</v>
      </c>
      <c r="I138" s="135">
        <f ca="1">I153</f>
        <v>0</v>
      </c>
      <c r="J138" s="135">
        <f>J153</f>
        <v>0</v>
      </c>
      <c r="K138" s="33">
        <f ca="1">IF(I138&gt;0,J138*100/I138,0)</f>
        <v>0</v>
      </c>
      <c r="L138" s="32"/>
      <c r="M138" s="32"/>
      <c r="N138" s="32"/>
      <c r="O138" s="32"/>
      <c r="P138" s="32"/>
    </row>
    <row r="139" spans="1:16" ht="19.5" hidden="1" x14ac:dyDescent="0.3">
      <c r="A139" s="136"/>
      <c r="B139" s="41"/>
      <c r="C139" s="197" t="s">
        <v>16</v>
      </c>
      <c r="D139" s="397" t="s">
        <v>17</v>
      </c>
      <c r="E139" s="41"/>
      <c r="F139" s="41"/>
      <c r="G139" s="43"/>
      <c r="H139" s="139" t="s">
        <v>12</v>
      </c>
      <c r="I139" s="45"/>
      <c r="J139" s="45"/>
      <c r="K139" s="46"/>
      <c r="L139" s="140">
        <f ca="1">L140+L141</f>
        <v>0</v>
      </c>
      <c r="M139" s="140">
        <f ca="1">M140+M141</f>
        <v>0</v>
      </c>
      <c r="N139" s="140">
        <f ca="1">N140+N141</f>
        <v>0</v>
      </c>
      <c r="O139" s="140">
        <f ca="1">IF(L139&gt;0,N139*100/L139,0)</f>
        <v>0</v>
      </c>
      <c r="P139" s="140">
        <f ca="1">IF(M139&gt;0,N139*100/M139,0)</f>
        <v>0</v>
      </c>
    </row>
    <row r="140" spans="1:16" ht="18.75" hidden="1" x14ac:dyDescent="0.25">
      <c r="A140" s="136"/>
      <c r="B140" s="41"/>
      <c r="C140" s="41"/>
      <c r="D140" s="41"/>
      <c r="E140" s="279" t="s">
        <v>18</v>
      </c>
      <c r="F140" s="41"/>
      <c r="G140" s="43"/>
      <c r="H140" s="141" t="s">
        <v>12</v>
      </c>
      <c r="I140" s="45"/>
      <c r="J140" s="45"/>
      <c r="K140" s="46"/>
      <c r="L140" s="50">
        <f>L143+L146</f>
        <v>0</v>
      </c>
      <c r="M140" s="50">
        <f>M143+M146</f>
        <v>0</v>
      </c>
      <c r="N140" s="50">
        <f>N143+N146</f>
        <v>0</v>
      </c>
      <c r="O140" s="50">
        <f>IF(L140&gt;0,N140*100/L140,0)</f>
        <v>0</v>
      </c>
      <c r="P140" s="50">
        <f>IF(M140&gt;0,N140*100/M140,0)</f>
        <v>0</v>
      </c>
    </row>
    <row r="141" spans="1:16" ht="18.75" hidden="1" x14ac:dyDescent="0.25">
      <c r="A141" s="136"/>
      <c r="B141" s="41"/>
      <c r="C141" s="41"/>
      <c r="D141" s="41"/>
      <c r="E141" s="254" t="s">
        <v>19</v>
      </c>
      <c r="F141" s="41"/>
      <c r="G141" s="43"/>
      <c r="H141" s="142" t="s">
        <v>12</v>
      </c>
      <c r="I141" s="45"/>
      <c r="J141" s="45"/>
      <c r="K141" s="46"/>
      <c r="L141" s="47">
        <f ca="1">L144+L147</f>
        <v>0</v>
      </c>
      <c r="M141" s="47">
        <f ca="1">M144+M147</f>
        <v>0</v>
      </c>
      <c r="N141" s="47">
        <f ca="1">N144+N147</f>
        <v>0</v>
      </c>
      <c r="O141" s="47">
        <f ca="1">IF(L141&gt;0,N141*100/L141,0)</f>
        <v>0</v>
      </c>
      <c r="P141" s="47">
        <f ca="1">IF(M141&gt;0,N141*100/M141,0)</f>
        <v>0</v>
      </c>
    </row>
    <row r="142" spans="1:16" ht="18.75" hidden="1" x14ac:dyDescent="0.25">
      <c r="A142" s="136"/>
      <c r="B142" s="41"/>
      <c r="C142" s="41"/>
      <c r="D142" s="42" t="s">
        <v>20</v>
      </c>
      <c r="E142" s="41"/>
      <c r="F142" s="41"/>
      <c r="G142" s="43"/>
      <c r="H142" s="143" t="s">
        <v>12</v>
      </c>
      <c r="I142" s="144"/>
      <c r="J142" s="144"/>
      <c r="K142" s="145"/>
      <c r="L142" s="47">
        <f ca="1">L143+L144</f>
        <v>0</v>
      </c>
      <c r="M142" s="47">
        <f ca="1">M143+M144</f>
        <v>0</v>
      </c>
      <c r="N142" s="47">
        <f ca="1">N143+N144</f>
        <v>0</v>
      </c>
      <c r="O142" s="47">
        <f ca="1">IF(L142&gt;0,N142*100/L142,0)</f>
        <v>0</v>
      </c>
      <c r="P142" s="47">
        <f ca="1">IF(M142&gt;0,N142*100/M142,0)</f>
        <v>0</v>
      </c>
    </row>
    <row r="143" spans="1:16" ht="18.75" hidden="1" x14ac:dyDescent="0.25">
      <c r="A143" s="136"/>
      <c r="B143" s="41"/>
      <c r="C143" s="41"/>
      <c r="D143" s="41"/>
      <c r="E143" s="279" t="s">
        <v>34</v>
      </c>
      <c r="F143" s="41"/>
      <c r="G143" s="43"/>
      <c r="H143" s="146" t="s">
        <v>12</v>
      </c>
      <c r="I143" s="144"/>
      <c r="J143" s="144"/>
      <c r="K143" s="145"/>
      <c r="L143" s="50">
        <v>0</v>
      </c>
      <c r="M143" s="50">
        <v>0</v>
      </c>
      <c r="N143" s="50">
        <v>0</v>
      </c>
      <c r="O143" s="50">
        <f>IF(L143&gt;0,N143*100/L143,0)</f>
        <v>0</v>
      </c>
      <c r="P143" s="50">
        <f>IF(M143&gt;0,N143*100/M143,0)</f>
        <v>0</v>
      </c>
    </row>
    <row r="144" spans="1:16" ht="18.75" hidden="1" x14ac:dyDescent="0.25">
      <c r="A144" s="136"/>
      <c r="B144" s="41"/>
      <c r="C144" s="41"/>
      <c r="D144" s="41"/>
      <c r="E144" s="254" t="s">
        <v>35</v>
      </c>
      <c r="F144" s="41"/>
      <c r="G144" s="43"/>
      <c r="H144" s="143" t="s">
        <v>12</v>
      </c>
      <c r="I144" s="144"/>
      <c r="J144" s="144"/>
      <c r="K144" s="145"/>
      <c r="L144" s="47">
        <f ca="1">IFERROR(__xludf.DUMMYFUNCTION("IMPORTRANGE(""https://docs.google.com/spreadsheets/d/1-uDff_7J0KD5mKrp0Vvzr7lt3OU09vwQwhkpOPPYv2Y/edit?usp=sharing"",""งบพรบ!BQ22"")"),0)</f>
        <v>0</v>
      </c>
      <c r="M144" s="47">
        <f ca="1">IFERROR(__xludf.DUMMYFUNCTION("IMPORTRANGE(""https://docs.google.com/spreadsheets/d/1-uDff_7J0KD5mKrp0Vvzr7lt3OU09vwQwhkpOPPYv2Y/edit?usp=sharing"",""งบพรบ!BV22"")"),0)</f>
        <v>0</v>
      </c>
      <c r="N144" s="47">
        <f ca="1">IFERROR(__xludf.DUMMYFUNCTION("IMPORTRANGE(""https://docs.google.com/spreadsheets/d/1-uDff_7J0KD5mKrp0Vvzr7lt3OU09vwQwhkpOPPYv2Y/edit?usp=sharing"",""งบพรบ!BX22"")"),0)</f>
        <v>0</v>
      </c>
      <c r="O144" s="47">
        <f ca="1">IF(L144&gt;0,N144*100/L144,0)</f>
        <v>0</v>
      </c>
      <c r="P144" s="47">
        <f ca="1">IF(M144&gt;0,N144*100/M144,0)</f>
        <v>0</v>
      </c>
    </row>
    <row r="145" spans="1:16" ht="18.75" hidden="1" x14ac:dyDescent="0.25">
      <c r="A145" s="136"/>
      <c r="B145" s="41"/>
      <c r="C145" s="41"/>
      <c r="D145" s="42" t="s">
        <v>21</v>
      </c>
      <c r="E145" s="41"/>
      <c r="F145" s="41"/>
      <c r="G145" s="43"/>
      <c r="H145" s="147" t="s">
        <v>12</v>
      </c>
      <c r="I145" s="144"/>
      <c r="J145" s="144"/>
      <c r="K145" s="145"/>
      <c r="L145" s="47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</row>
    <row r="146" spans="1:16" ht="18.75" hidden="1" x14ac:dyDescent="0.25">
      <c r="A146" s="136"/>
      <c r="B146" s="41"/>
      <c r="C146" s="41"/>
      <c r="D146" s="41"/>
      <c r="E146" s="279" t="s">
        <v>18</v>
      </c>
      <c r="F146" s="41"/>
      <c r="G146" s="43"/>
      <c r="H146" s="146" t="s">
        <v>12</v>
      </c>
      <c r="I146" s="144"/>
      <c r="J146" s="144"/>
      <c r="K146" s="145"/>
      <c r="L146" s="50">
        <v>0</v>
      </c>
      <c r="M146" s="50">
        <v>0</v>
      </c>
      <c r="N146" s="50">
        <v>0</v>
      </c>
      <c r="O146" s="50">
        <f>IF(L146&gt;0,N146*100/L146,0)</f>
        <v>0</v>
      </c>
      <c r="P146" s="50">
        <f>IF(M146&gt;0,N146*100/M146,0)</f>
        <v>0</v>
      </c>
    </row>
    <row r="147" spans="1:16" ht="18.75" hidden="1" x14ac:dyDescent="0.25">
      <c r="A147" s="136"/>
      <c r="B147" s="41"/>
      <c r="C147" s="41"/>
      <c r="D147" s="41"/>
      <c r="E147" s="254" t="s">
        <v>19</v>
      </c>
      <c r="F147" s="41"/>
      <c r="G147" s="43"/>
      <c r="H147" s="147" t="s">
        <v>12</v>
      </c>
      <c r="I147" s="144"/>
      <c r="J147" s="144"/>
      <c r="K147" s="145"/>
      <c r="L147" s="47">
        <f ca="1">IFERROR(__xludf.DUMMYFUNCTION("IMPORTRANGE(""https://docs.google.com/spreadsheets/d/1-uDff_7J0KD5mKrp0Vvzr7lt3OU09vwQwhkpOPPYv2Y/edit?usp=sharing"",""งบพรบ!BT22"")"),0)</f>
        <v>0</v>
      </c>
      <c r="M147" s="47">
        <f ca="1">IFERROR(__xludf.DUMMYFUNCTION("IMPORTRANGE(""https://docs.google.com/spreadsheets/d/1-uDff_7J0KD5mKrp0Vvzr7lt3OU09vwQwhkpOPPYv2Y/edit?usp=sharing"",""งบพรบ!BW22"")"),0)</f>
        <v>0</v>
      </c>
      <c r="N147" s="47">
        <f ca="1">IFERROR(__xludf.DUMMYFUNCTION("IMPORTRANGE(""https://docs.google.com/spreadsheets/d/1-uDff_7J0KD5mKrp0Vvzr7lt3OU09vwQwhkpOPPYv2Y/edit?usp=sharing"",""งบพรบ!BY22"")"),0)</f>
        <v>0</v>
      </c>
      <c r="O147" s="47">
        <f ca="1">IF(L147&gt;0,N147*100/L147,0)</f>
        <v>0</v>
      </c>
      <c r="P147" s="47">
        <f ca="1">IF(M147&gt;0,N147*100/M147,0)</f>
        <v>0</v>
      </c>
    </row>
    <row r="148" spans="1:16" ht="19.5" hidden="1" x14ac:dyDescent="0.3">
      <c r="A148" s="148"/>
      <c r="B148" s="149"/>
      <c r="C148" s="197" t="s">
        <v>16</v>
      </c>
      <c r="D148" s="395" t="s">
        <v>36</v>
      </c>
      <c r="E148" s="151"/>
      <c r="F148" s="151"/>
      <c r="G148" s="152"/>
      <c r="H148" s="196"/>
      <c r="I148" s="45"/>
      <c r="J148" s="45"/>
      <c r="K148" s="46"/>
      <c r="L148" s="46"/>
      <c r="M148" s="46"/>
      <c r="N148" s="46"/>
      <c r="O148" s="46"/>
      <c r="P148" s="46"/>
    </row>
    <row r="149" spans="1:16" ht="18.75" hidden="1" x14ac:dyDescent="0.25">
      <c r="A149" s="136"/>
      <c r="B149" s="41"/>
      <c r="C149" s="41"/>
      <c r="D149" s="254" t="s">
        <v>57</v>
      </c>
      <c r="E149" s="41"/>
      <c r="F149" s="41"/>
      <c r="G149" s="43"/>
      <c r="H149" s="196"/>
      <c r="I149" s="45"/>
      <c r="J149" s="250">
        <v>0</v>
      </c>
      <c r="K149" s="46"/>
      <c r="L149" s="46"/>
      <c r="M149" s="46"/>
      <c r="N149" s="46"/>
      <c r="O149" s="46"/>
      <c r="P149" s="46"/>
    </row>
    <row r="150" spans="1:16" ht="19.5" hidden="1" x14ac:dyDescent="0.3">
      <c r="A150" s="136"/>
      <c r="B150" s="41"/>
      <c r="C150" s="41"/>
      <c r="D150" s="155"/>
      <c r="E150" s="197" t="s">
        <v>58</v>
      </c>
      <c r="F150" s="41"/>
      <c r="G150" s="43"/>
      <c r="H150" s="147" t="s">
        <v>33</v>
      </c>
      <c r="I150" s="169">
        <f ca="1">IFERROR(__xludf.DUMMYFUNCTION("IMPORTRANGE(""https://docs.google.com/spreadsheets/d/1eHaY18a8A9IcSdp1K8H6x8fbOy06t2VsZHhMHf-1x7Y/edit?usp=sharing"",""แผน!U22"")"),0)</f>
        <v>0</v>
      </c>
      <c r="J150" s="250">
        <v>0</v>
      </c>
      <c r="K150" s="47">
        <f ca="1">IF(I150&gt;0,J150*100/I150,0)</f>
        <v>0</v>
      </c>
      <c r="L150" s="46"/>
      <c r="M150" s="46"/>
      <c r="N150" s="46"/>
      <c r="O150" s="46"/>
      <c r="P150" s="46"/>
    </row>
    <row r="151" spans="1:16" ht="18.75" hidden="1" x14ac:dyDescent="0.25">
      <c r="A151" s="136"/>
      <c r="B151" s="41"/>
      <c r="C151" s="41"/>
      <c r="D151" s="155"/>
      <c r="E151" s="41"/>
      <c r="F151" s="41"/>
      <c r="G151" s="43"/>
      <c r="H151" s="147" t="s">
        <v>56</v>
      </c>
      <c r="I151" s="169">
        <f ca="1">IFERROR(__xludf.DUMMYFUNCTION("IMPORTRANGE(""https://docs.google.com/spreadsheets/d/1eHaY18a8A9IcSdp1K8H6x8fbOy06t2VsZHhMHf-1x7Y/edit?usp=sharing"",""แผน!V22"")"),0)</f>
        <v>0</v>
      </c>
      <c r="J151" s="250">
        <v>0</v>
      </c>
      <c r="K151" s="47">
        <f ca="1">IF(I151&gt;0,J151*100/I151,0)</f>
        <v>0</v>
      </c>
      <c r="L151" s="46"/>
      <c r="M151" s="46"/>
      <c r="N151" s="46"/>
      <c r="O151" s="46"/>
      <c r="P151" s="46"/>
    </row>
    <row r="152" spans="1:16" ht="19.5" hidden="1" x14ac:dyDescent="0.3">
      <c r="A152" s="136"/>
      <c r="B152" s="41"/>
      <c r="C152" s="41"/>
      <c r="D152" s="155"/>
      <c r="E152" s="197" t="s">
        <v>59</v>
      </c>
      <c r="F152" s="41"/>
      <c r="G152" s="43"/>
      <c r="H152" s="147" t="s">
        <v>33</v>
      </c>
      <c r="I152" s="169">
        <f ca="1">IFERROR(__xludf.DUMMYFUNCTION("IMPORTRANGE(""https://docs.google.com/spreadsheets/d/1eHaY18a8A9IcSdp1K8H6x8fbOy06t2VsZHhMHf-1x7Y/edit?usp=sharing"",""แผน!W22"")"),0)</f>
        <v>0</v>
      </c>
      <c r="J152" s="250">
        <v>0</v>
      </c>
      <c r="K152" s="47">
        <f ca="1">IF(I152&gt;0,J152*100/I152,0)</f>
        <v>0</v>
      </c>
      <c r="L152" s="46"/>
      <c r="M152" s="46"/>
      <c r="N152" s="46"/>
      <c r="O152" s="46"/>
      <c r="P152" s="46"/>
    </row>
    <row r="153" spans="1:16" ht="18.75" hidden="1" x14ac:dyDescent="0.25">
      <c r="A153" s="136"/>
      <c r="B153" s="41"/>
      <c r="C153" s="41"/>
      <c r="D153" s="41"/>
      <c r="E153" s="41"/>
      <c r="F153" s="41"/>
      <c r="G153" s="43"/>
      <c r="H153" s="147" t="s">
        <v>56</v>
      </c>
      <c r="I153" s="169">
        <f ca="1">IFERROR(__xludf.DUMMYFUNCTION("IMPORTRANGE(""https://docs.google.com/spreadsheets/d/1eHaY18a8A9IcSdp1K8H6x8fbOy06t2VsZHhMHf-1x7Y/edit?usp=sharing"",""แผน!X22"")"),0)</f>
        <v>0</v>
      </c>
      <c r="J153" s="250">
        <v>0</v>
      </c>
      <c r="K153" s="47">
        <f ca="1">IF(I153&gt;0,J153*100/I153,0)</f>
        <v>0</v>
      </c>
      <c r="L153" s="46"/>
      <c r="M153" s="46"/>
      <c r="N153" s="46"/>
      <c r="O153" s="46"/>
      <c r="P153" s="46"/>
    </row>
    <row r="154" spans="1:16" ht="18.75" hidden="1" x14ac:dyDescent="0.25">
      <c r="A154" s="136"/>
      <c r="B154" s="41"/>
      <c r="C154" s="41"/>
      <c r="D154" s="254" t="s">
        <v>60</v>
      </c>
      <c r="E154" s="41"/>
      <c r="F154" s="41"/>
      <c r="G154" s="43"/>
      <c r="H154" s="147" t="s">
        <v>54</v>
      </c>
      <c r="I154" s="169">
        <f ca="1">IFERROR(__xludf.DUMMYFUNCTION("IMPORTRANGE(""https://docs.google.com/spreadsheets/d/1eHaY18a8A9IcSdp1K8H6x8fbOy06t2VsZHhMHf-1x7Y/edit?usp=sharing"",""แผน!Y22"")"),0)</f>
        <v>0</v>
      </c>
      <c r="J154" s="250">
        <v>0</v>
      </c>
      <c r="K154" s="47">
        <f ca="1">IF(I154&gt;0,J154*100/I154,0)</f>
        <v>0</v>
      </c>
      <c r="L154" s="46"/>
      <c r="M154" s="46"/>
      <c r="N154" s="46"/>
      <c r="O154" s="46"/>
      <c r="P154" s="46"/>
    </row>
    <row r="155" spans="1:16" ht="19.5" hidden="1" x14ac:dyDescent="0.3">
      <c r="A155" s="125" t="s">
        <v>61</v>
      </c>
      <c r="B155" s="126"/>
      <c r="C155" s="190"/>
      <c r="D155" s="126"/>
      <c r="E155" s="126"/>
      <c r="F155" s="126"/>
      <c r="G155" s="126"/>
      <c r="H155" s="126"/>
      <c r="I155" s="191"/>
      <c r="J155" s="191"/>
      <c r="K155" s="192"/>
      <c r="L155" s="130"/>
      <c r="M155" s="130"/>
      <c r="N155" s="130"/>
      <c r="O155" s="130"/>
      <c r="P155" s="130"/>
    </row>
    <row r="156" spans="1:16" ht="19.5" hidden="1" x14ac:dyDescent="0.3">
      <c r="A156" s="131"/>
      <c r="B156" s="132" t="s">
        <v>62</v>
      </c>
      <c r="C156" s="26"/>
      <c r="D156" s="26"/>
      <c r="E156" s="26"/>
      <c r="F156" s="26"/>
      <c r="G156" s="29"/>
      <c r="H156" s="198" t="s">
        <v>33</v>
      </c>
      <c r="I156" s="135">
        <f ca="1">I169</f>
        <v>0</v>
      </c>
      <c r="J156" s="135">
        <f>J169</f>
        <v>0</v>
      </c>
      <c r="K156" s="33">
        <f ca="1">IF(I156&gt;0,J156*100/I156,0)</f>
        <v>0</v>
      </c>
      <c r="L156" s="32"/>
      <c r="M156" s="32"/>
      <c r="N156" s="32"/>
      <c r="O156" s="32"/>
      <c r="P156" s="32"/>
    </row>
    <row r="157" spans="1:16" ht="19.5" hidden="1" x14ac:dyDescent="0.3">
      <c r="A157" s="136"/>
      <c r="B157" s="41"/>
      <c r="C157" s="197" t="s">
        <v>16</v>
      </c>
      <c r="D157" s="397" t="s">
        <v>17</v>
      </c>
      <c r="E157" s="41"/>
      <c r="F157" s="41"/>
      <c r="G157" s="43"/>
      <c r="H157" s="139" t="s">
        <v>12</v>
      </c>
      <c r="I157" s="45"/>
      <c r="J157" s="45"/>
      <c r="K157" s="46"/>
      <c r="L157" s="140">
        <f ca="1">L158+L159</f>
        <v>0</v>
      </c>
      <c r="M157" s="140">
        <f ca="1">M158+M159</f>
        <v>0</v>
      </c>
      <c r="N157" s="140">
        <f ca="1">N158+N159</f>
        <v>0</v>
      </c>
      <c r="O157" s="140">
        <f ca="1">IF(L157&gt;0,N157*100/L157,0)</f>
        <v>0</v>
      </c>
      <c r="P157" s="140">
        <f ca="1">IF(M157&gt;0,N157*100/M157,0)</f>
        <v>0</v>
      </c>
    </row>
    <row r="158" spans="1:16" ht="18.75" hidden="1" x14ac:dyDescent="0.25">
      <c r="A158" s="136"/>
      <c r="B158" s="41"/>
      <c r="C158" s="41"/>
      <c r="D158" s="41"/>
      <c r="E158" s="279" t="s">
        <v>18</v>
      </c>
      <c r="F158" s="41"/>
      <c r="G158" s="43"/>
      <c r="H158" s="141" t="s">
        <v>12</v>
      </c>
      <c r="I158" s="45"/>
      <c r="J158" s="45"/>
      <c r="K158" s="46"/>
      <c r="L158" s="50">
        <f>L161+L164</f>
        <v>0</v>
      </c>
      <c r="M158" s="50">
        <f>M161+M164</f>
        <v>0</v>
      </c>
      <c r="N158" s="50">
        <f>N161+N164</f>
        <v>0</v>
      </c>
      <c r="O158" s="50">
        <f>IF(L158&gt;0,N158*100/L158,0)</f>
        <v>0</v>
      </c>
      <c r="P158" s="50">
        <f>IF(M158&gt;0,N158*100/M158,0)</f>
        <v>0</v>
      </c>
    </row>
    <row r="159" spans="1:16" ht="18.75" hidden="1" x14ac:dyDescent="0.25">
      <c r="A159" s="136"/>
      <c r="B159" s="41"/>
      <c r="C159" s="41"/>
      <c r="D159" s="41"/>
      <c r="E159" s="254" t="s">
        <v>19</v>
      </c>
      <c r="F159" s="41"/>
      <c r="G159" s="43"/>
      <c r="H159" s="142" t="s">
        <v>12</v>
      </c>
      <c r="I159" s="45"/>
      <c r="J159" s="45"/>
      <c r="K159" s="46"/>
      <c r="L159" s="47">
        <f ca="1">L162+L165</f>
        <v>0</v>
      </c>
      <c r="M159" s="47">
        <f ca="1">M162+M165</f>
        <v>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</row>
    <row r="160" spans="1:16" ht="18.75" hidden="1" x14ac:dyDescent="0.25">
      <c r="A160" s="136"/>
      <c r="B160" s="41"/>
      <c r="C160" s="41"/>
      <c r="D160" s="42" t="s">
        <v>20</v>
      </c>
      <c r="E160" s="41"/>
      <c r="F160" s="41"/>
      <c r="G160" s="43"/>
      <c r="H160" s="143" t="s">
        <v>12</v>
      </c>
      <c r="I160" s="144"/>
      <c r="J160" s="144"/>
      <c r="K160" s="145"/>
      <c r="L160" s="47">
        <f ca="1">L161+L162</f>
        <v>0</v>
      </c>
      <c r="M160" s="47">
        <f ca="1">M161+M162</f>
        <v>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</row>
    <row r="161" spans="1:16" ht="18.75" hidden="1" x14ac:dyDescent="0.25">
      <c r="A161" s="136"/>
      <c r="B161" s="41"/>
      <c r="C161" s="41"/>
      <c r="D161" s="41"/>
      <c r="E161" s="279" t="s">
        <v>34</v>
      </c>
      <c r="F161" s="41"/>
      <c r="G161" s="43"/>
      <c r="H161" s="146" t="s">
        <v>12</v>
      </c>
      <c r="I161" s="144"/>
      <c r="J161" s="144"/>
      <c r="K161" s="145"/>
      <c r="L161" s="50">
        <v>0</v>
      </c>
      <c r="M161" s="50">
        <v>0</v>
      </c>
      <c r="N161" s="50">
        <v>0</v>
      </c>
      <c r="O161" s="50">
        <f>IF(L161&gt;0,N161*100/L161,0)</f>
        <v>0</v>
      </c>
      <c r="P161" s="50">
        <f>IF(M161&gt;0,N161*100/M161,0)</f>
        <v>0</v>
      </c>
    </row>
    <row r="162" spans="1:16" ht="18.75" hidden="1" x14ac:dyDescent="0.25">
      <c r="A162" s="136"/>
      <c r="B162" s="41"/>
      <c r="C162" s="41"/>
      <c r="D162" s="41"/>
      <c r="E162" s="254" t="s">
        <v>35</v>
      </c>
      <c r="F162" s="41"/>
      <c r="G162" s="43"/>
      <c r="H162" s="143" t="s">
        <v>12</v>
      </c>
      <c r="I162" s="144"/>
      <c r="J162" s="144"/>
      <c r="K162" s="145"/>
      <c r="L162" s="47">
        <f ca="1">IFERROR(__xludf.DUMMYFUNCTION("IMPORTRANGE(""https://docs.google.com/spreadsheets/d/1-uDff_7J0KD5mKrp0Vvzr7lt3OU09vwQwhkpOPPYv2Y/edit?usp=sharing"",""งบพรบ!CA22"")"),0)</f>
        <v>0</v>
      </c>
      <c r="M162" s="47">
        <f ca="1">IFERROR(__xludf.DUMMYFUNCTION("IMPORTRANGE(""https://docs.google.com/spreadsheets/d/1-uDff_7J0KD5mKrp0Vvzr7lt3OU09vwQwhkpOPPYv2Y/edit?usp=sharing"",""งบพรบ!CF22"")"),0)</f>
        <v>0</v>
      </c>
      <c r="N162" s="47">
        <f ca="1">IFERROR(__xludf.DUMMYFUNCTION("IMPORTRANGE(""https://docs.google.com/spreadsheets/d/1-uDff_7J0KD5mKrp0Vvzr7lt3OU09vwQwhkpOPPYv2Y/edit?usp=sharing"",""งบพรบ!CH22"")"),0)</f>
        <v>0</v>
      </c>
      <c r="O162" s="47">
        <f ca="1">IF(L162&gt;0,N162*100/L162,0)</f>
        <v>0</v>
      </c>
      <c r="P162" s="47">
        <f ca="1">IF(M162&gt;0,N162*100/M162,0)</f>
        <v>0</v>
      </c>
    </row>
    <row r="163" spans="1:16" ht="18.75" hidden="1" x14ac:dyDescent="0.25">
      <c r="A163" s="136"/>
      <c r="B163" s="41"/>
      <c r="C163" s="41"/>
      <c r="D163" s="42" t="s">
        <v>21</v>
      </c>
      <c r="E163" s="41"/>
      <c r="F163" s="41"/>
      <c r="G163" s="43"/>
      <c r="H163" s="147" t="s">
        <v>12</v>
      </c>
      <c r="I163" s="144"/>
      <c r="J163" s="144"/>
      <c r="K163" s="145"/>
      <c r="L163" s="47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</row>
    <row r="164" spans="1:16" ht="18.75" hidden="1" x14ac:dyDescent="0.25">
      <c r="A164" s="136"/>
      <c r="B164" s="41"/>
      <c r="C164" s="41"/>
      <c r="D164" s="41"/>
      <c r="E164" s="279" t="s">
        <v>18</v>
      </c>
      <c r="F164" s="41"/>
      <c r="G164" s="43"/>
      <c r="H164" s="146" t="s">
        <v>12</v>
      </c>
      <c r="I164" s="144"/>
      <c r="J164" s="144"/>
      <c r="K164" s="145"/>
      <c r="L164" s="50">
        <v>0</v>
      </c>
      <c r="M164" s="50">
        <v>0</v>
      </c>
      <c r="N164" s="50">
        <v>0</v>
      </c>
      <c r="O164" s="50">
        <f>IF(L164&gt;0,N164*100/L164,0)</f>
        <v>0</v>
      </c>
      <c r="P164" s="50">
        <f>IF(M164&gt;0,N164*100/M164,0)</f>
        <v>0</v>
      </c>
    </row>
    <row r="165" spans="1:16" ht="18.75" hidden="1" x14ac:dyDescent="0.25">
      <c r="A165" s="136"/>
      <c r="B165" s="41"/>
      <c r="C165" s="41"/>
      <c r="D165" s="41"/>
      <c r="E165" s="254" t="s">
        <v>19</v>
      </c>
      <c r="F165" s="41"/>
      <c r="G165" s="43"/>
      <c r="H165" s="147" t="s">
        <v>12</v>
      </c>
      <c r="I165" s="144"/>
      <c r="J165" s="144"/>
      <c r="K165" s="145"/>
      <c r="L165" s="47">
        <f ca="1">IFERROR(__xludf.DUMMYFUNCTION("IMPORTRANGE(""https://docs.google.com/spreadsheets/d/1-uDff_7J0KD5mKrp0Vvzr7lt3OU09vwQwhkpOPPYv2Y/edit?usp=sharing"",""งบพรบ!CD22"")"),0)</f>
        <v>0</v>
      </c>
      <c r="M165" s="47">
        <f ca="1">IFERROR(__xludf.DUMMYFUNCTION("IMPORTRANGE(""https://docs.google.com/spreadsheets/d/1-uDff_7J0KD5mKrp0Vvzr7lt3OU09vwQwhkpOPPYv2Y/edit?usp=sharing"",""งบพรบ!CG22"")"),0)</f>
        <v>0</v>
      </c>
      <c r="N165" s="47">
        <f ca="1">IFERROR(__xludf.DUMMYFUNCTION("IMPORTRANGE(""https://docs.google.com/spreadsheets/d/1-uDff_7J0KD5mKrp0Vvzr7lt3OU09vwQwhkpOPPYv2Y/edit?usp=sharing"",""งบพรบ!CI22"")"),0)</f>
        <v>0</v>
      </c>
      <c r="O165" s="47">
        <f ca="1">IF(L165&gt;0,N165*100/L165,0)</f>
        <v>0</v>
      </c>
      <c r="P165" s="47">
        <f ca="1">IF(M165&gt;0,N165*100/M165,0)</f>
        <v>0</v>
      </c>
    </row>
    <row r="166" spans="1:16" ht="19.5" hidden="1" x14ac:dyDescent="0.3">
      <c r="A166" s="148"/>
      <c r="B166" s="149"/>
      <c r="C166" s="197" t="s">
        <v>16</v>
      </c>
      <c r="D166" s="395" t="s">
        <v>36</v>
      </c>
      <c r="E166" s="151"/>
      <c r="F166" s="151"/>
      <c r="G166" s="152"/>
      <c r="H166" s="196"/>
      <c r="I166" s="45"/>
      <c r="J166" s="45"/>
      <c r="K166" s="46"/>
      <c r="L166" s="46"/>
      <c r="M166" s="46"/>
      <c r="N166" s="46"/>
      <c r="O166" s="46"/>
      <c r="P166" s="46"/>
    </row>
    <row r="167" spans="1:16" ht="18.75" hidden="1" x14ac:dyDescent="0.25">
      <c r="A167" s="136"/>
      <c r="B167" s="41"/>
      <c r="C167" s="41"/>
      <c r="D167" s="254" t="s">
        <v>63</v>
      </c>
      <c r="E167" s="41"/>
      <c r="F167" s="41"/>
      <c r="G167" s="43"/>
      <c r="H167" s="147" t="s">
        <v>33</v>
      </c>
      <c r="I167" s="169">
        <f ca="1">IFERROR(__xludf.DUMMYFUNCTION("IMPORTRANGE(""https://docs.google.com/spreadsheets/d/1eHaY18a8A9IcSdp1K8H6x8fbOy06t2VsZHhMHf-1x7Y/edit?usp=sharing"",""แผน!Z22"")"),0)</f>
        <v>0</v>
      </c>
      <c r="J167" s="250">
        <v>0</v>
      </c>
      <c r="K167" s="47">
        <f ca="1">IF(I167&gt;0,J167*100/I167,0)</f>
        <v>0</v>
      </c>
      <c r="L167" s="46"/>
      <c r="M167" s="46"/>
      <c r="N167" s="46"/>
      <c r="O167" s="46"/>
      <c r="P167" s="46"/>
    </row>
    <row r="168" spans="1:16" ht="18.75" hidden="1" x14ac:dyDescent="0.25">
      <c r="A168" s="136"/>
      <c r="B168" s="41"/>
      <c r="C168" s="41"/>
      <c r="D168" s="279" t="s">
        <v>64</v>
      </c>
      <c r="E168" s="41"/>
      <c r="F168" s="41"/>
      <c r="G168" s="43"/>
      <c r="H168" s="199" t="s">
        <v>33</v>
      </c>
      <c r="I168" s="200">
        <f ca="1">IFERROR(__xludf.DUMMYFUNCTION("IMPORTRANGE(""https://docs.google.com/spreadsheets/d/1eHaY18a8A9IcSdp1K8H6x8fbOy06t2VsZHhMHf-1x7Y/edit?usp=sharing"",""แผน!Z22"")"),0)</f>
        <v>0</v>
      </c>
      <c r="J168" s="201">
        <v>0</v>
      </c>
      <c r="K168" s="50">
        <f ca="1">IF(I168&gt;0,J168*100/I168,0)</f>
        <v>0</v>
      </c>
      <c r="L168" s="46"/>
      <c r="M168" s="46"/>
      <c r="N168" s="46"/>
      <c r="O168" s="46"/>
      <c r="P168" s="46"/>
    </row>
    <row r="169" spans="1:16" ht="18.75" hidden="1" x14ac:dyDescent="0.25">
      <c r="A169" s="202"/>
      <c r="B169" s="1"/>
      <c r="C169" s="1"/>
      <c r="D169" s="203" t="s">
        <v>65</v>
      </c>
      <c r="E169" s="1"/>
      <c r="F169" s="1"/>
      <c r="G169" s="54"/>
      <c r="H169" s="204" t="s">
        <v>33</v>
      </c>
      <c r="I169" s="205">
        <f ca="1">IFERROR(__xludf.DUMMYFUNCTION("IMPORTRANGE(""https://docs.google.com/spreadsheets/d/1eHaY18a8A9IcSdp1K8H6x8fbOy06t2VsZHhMHf-1x7Y/edit?usp=sharing"",""แผน!Z22"")"),0)</f>
        <v>0</v>
      </c>
      <c r="J169" s="206">
        <v>0</v>
      </c>
      <c r="K169" s="207">
        <f ca="1">IF(I169&gt;0,J169*100/I169,0)</f>
        <v>0</v>
      </c>
      <c r="L169" s="57"/>
      <c r="M169" s="57"/>
      <c r="N169" s="57"/>
      <c r="O169" s="57"/>
      <c r="P169" s="57"/>
    </row>
    <row r="170" spans="1:16" ht="19.5" x14ac:dyDescent="0.3">
      <c r="A170" s="208" t="s">
        <v>66</v>
      </c>
      <c r="B170" s="209"/>
      <c r="C170" s="209"/>
      <c r="D170" s="209"/>
      <c r="E170" s="210"/>
      <c r="F170" s="210"/>
      <c r="G170" s="210"/>
      <c r="H170" s="210"/>
      <c r="I170" s="211"/>
      <c r="J170" s="211"/>
      <c r="K170" s="212"/>
      <c r="L170" s="212"/>
      <c r="M170" s="212"/>
      <c r="N170" s="212"/>
      <c r="O170" s="212"/>
      <c r="P170" s="213"/>
    </row>
    <row r="171" spans="1:16" ht="19.5" x14ac:dyDescent="0.3">
      <c r="A171" s="214" t="s">
        <v>67</v>
      </c>
      <c r="B171" s="215"/>
      <c r="C171" s="215"/>
      <c r="D171" s="216"/>
      <c r="E171" s="216"/>
      <c r="F171" s="216"/>
      <c r="G171" s="216"/>
      <c r="H171" s="217"/>
      <c r="I171" s="218"/>
      <c r="J171" s="218"/>
      <c r="K171" s="219"/>
      <c r="L171" s="219"/>
      <c r="M171" s="219"/>
      <c r="N171" s="219"/>
      <c r="O171" s="219"/>
      <c r="P171" s="219"/>
    </row>
    <row r="172" spans="1:16" ht="19.5" x14ac:dyDescent="0.3">
      <c r="A172" s="220"/>
      <c r="B172" s="221" t="s">
        <v>68</v>
      </c>
      <c r="C172" s="222"/>
      <c r="D172" s="151"/>
      <c r="E172" s="151"/>
      <c r="F172" s="151"/>
      <c r="G172" s="152"/>
      <c r="H172" s="223" t="s">
        <v>33</v>
      </c>
      <c r="I172" s="224">
        <f ca="1">I183+I184</f>
        <v>7</v>
      </c>
      <c r="J172" s="224">
        <f>J183+J184</f>
        <v>0</v>
      </c>
      <c r="K172" s="225">
        <f ca="1">IF(I172&gt;0,J172*100/I172,0)</f>
        <v>0</v>
      </c>
      <c r="L172" s="226"/>
      <c r="M172" s="226"/>
      <c r="N172" s="226"/>
      <c r="O172" s="226"/>
      <c r="P172" s="226"/>
    </row>
    <row r="173" spans="1:16" ht="19.5" x14ac:dyDescent="0.3">
      <c r="A173" s="136"/>
      <c r="B173" s="41"/>
      <c r="C173" s="197" t="s">
        <v>16</v>
      </c>
      <c r="D173" s="397" t="s">
        <v>17</v>
      </c>
      <c r="E173" s="41"/>
      <c r="F173" s="41"/>
      <c r="G173" s="43"/>
      <c r="H173" s="139" t="s">
        <v>12</v>
      </c>
      <c r="I173" s="45"/>
      <c r="J173" s="45"/>
      <c r="K173" s="46"/>
      <c r="L173" s="140">
        <f ca="1">L174+L175</f>
        <v>19590</v>
      </c>
      <c r="M173" s="140">
        <f ca="1">M174+M175</f>
        <v>19590</v>
      </c>
      <c r="N173" s="140">
        <f ca="1">N174+N175</f>
        <v>0</v>
      </c>
      <c r="O173" s="140">
        <f ca="1">IF(L173&gt;0,N173*100/L173,0)</f>
        <v>0</v>
      </c>
      <c r="P173" s="140">
        <f ca="1">IF(M173&gt;0,N173*100/M173,0)</f>
        <v>0</v>
      </c>
    </row>
    <row r="174" spans="1:16" ht="18.75" hidden="1" x14ac:dyDescent="0.25">
      <c r="A174" s="136"/>
      <c r="B174" s="41"/>
      <c r="C174" s="41"/>
      <c r="D174" s="41"/>
      <c r="E174" s="279" t="s">
        <v>18</v>
      </c>
      <c r="F174" s="41"/>
      <c r="G174" s="43"/>
      <c r="H174" s="141" t="s">
        <v>12</v>
      </c>
      <c r="I174" s="45"/>
      <c r="J174" s="45"/>
      <c r="K174" s="46"/>
      <c r="L174" s="50">
        <f>L177+L180</f>
        <v>0</v>
      </c>
      <c r="M174" s="50">
        <f>M177+M180</f>
        <v>0</v>
      </c>
      <c r="N174" s="50">
        <f>N177+N180</f>
        <v>0</v>
      </c>
      <c r="O174" s="50">
        <f>IF(L174&gt;0,N174*100/L174,0)</f>
        <v>0</v>
      </c>
      <c r="P174" s="50">
        <f>IF(M174&gt;0,N174*100/M174,0)</f>
        <v>0</v>
      </c>
    </row>
    <row r="175" spans="1:16" ht="18.75" hidden="1" x14ac:dyDescent="0.25">
      <c r="A175" s="136"/>
      <c r="B175" s="41"/>
      <c r="C175" s="41"/>
      <c r="D175" s="41"/>
      <c r="E175" s="254" t="s">
        <v>19</v>
      </c>
      <c r="F175" s="41"/>
      <c r="G175" s="43"/>
      <c r="H175" s="142" t="s">
        <v>12</v>
      </c>
      <c r="I175" s="45"/>
      <c r="J175" s="45"/>
      <c r="K175" s="46"/>
      <c r="L175" s="47">
        <f ca="1">L178+L181</f>
        <v>19590</v>
      </c>
      <c r="M175" s="47">
        <f ca="1">M178+M181</f>
        <v>19590</v>
      </c>
      <c r="N175" s="47">
        <f ca="1">N178+N181</f>
        <v>0</v>
      </c>
      <c r="O175" s="47">
        <f ca="1">IF(L175&gt;0,N175*100/L175,0)</f>
        <v>0</v>
      </c>
      <c r="P175" s="47">
        <f ca="1">IF(M175&gt;0,N175*100/M175,0)</f>
        <v>0</v>
      </c>
    </row>
    <row r="176" spans="1:16" ht="18.75" x14ac:dyDescent="0.25">
      <c r="A176" s="136"/>
      <c r="B176" s="41"/>
      <c r="C176" s="41"/>
      <c r="D176" s="42" t="s">
        <v>20</v>
      </c>
      <c r="E176" s="41"/>
      <c r="F176" s="41"/>
      <c r="G176" s="43"/>
      <c r="H176" s="143" t="s">
        <v>12</v>
      </c>
      <c r="I176" s="144"/>
      <c r="J176" s="144"/>
      <c r="K176" s="145"/>
      <c r="L176" s="47">
        <f ca="1">L177+L178</f>
        <v>19590</v>
      </c>
      <c r="M176" s="47">
        <f ca="1">M177+M178</f>
        <v>19590</v>
      </c>
      <c r="N176" s="47">
        <f ca="1">N177+N178</f>
        <v>0</v>
      </c>
      <c r="O176" s="47">
        <f ca="1">IF(L176&gt;0,N176*100/L176,0)</f>
        <v>0</v>
      </c>
      <c r="P176" s="47">
        <f ca="1">IF(M176&gt;0,N176*100/M176,0)</f>
        <v>0</v>
      </c>
    </row>
    <row r="177" spans="1:16" ht="18.75" hidden="1" x14ac:dyDescent="0.25">
      <c r="A177" s="136"/>
      <c r="B177" s="41"/>
      <c r="C177" s="41"/>
      <c r="D177" s="41"/>
      <c r="E177" s="279" t="s">
        <v>34</v>
      </c>
      <c r="F177" s="41"/>
      <c r="G177" s="43"/>
      <c r="H177" s="146" t="s">
        <v>12</v>
      </c>
      <c r="I177" s="144"/>
      <c r="J177" s="144"/>
      <c r="K177" s="145"/>
      <c r="L177" s="50">
        <v>0</v>
      </c>
      <c r="M177" s="50">
        <v>0</v>
      </c>
      <c r="N177" s="50">
        <v>0</v>
      </c>
      <c r="O177" s="50">
        <f>IF(L177&gt;0,N177*100/L177,0)</f>
        <v>0</v>
      </c>
      <c r="P177" s="50">
        <f>IF(M177&gt;0,N177*100/M177,0)</f>
        <v>0</v>
      </c>
    </row>
    <row r="178" spans="1:16" ht="18.75" hidden="1" x14ac:dyDescent="0.25">
      <c r="A178" s="136"/>
      <c r="B178" s="41"/>
      <c r="C178" s="41"/>
      <c r="D178" s="41"/>
      <c r="E178" s="254" t="s">
        <v>35</v>
      </c>
      <c r="F178" s="41"/>
      <c r="G178" s="43"/>
      <c r="H178" s="143" t="s">
        <v>12</v>
      </c>
      <c r="I178" s="144"/>
      <c r="J178" s="144"/>
      <c r="K178" s="145"/>
      <c r="L178" s="47">
        <f ca="1">IFERROR(__xludf.DUMMYFUNCTION("IMPORTRANGE(""https://docs.google.com/spreadsheets/d/1-uDff_7J0KD5mKrp0Vvzr7lt3OU09vwQwhkpOPPYv2Y/edit?usp=sharing"",""งบพรบ!CK22"")"),19590)</f>
        <v>19590</v>
      </c>
      <c r="M178" s="47">
        <f ca="1">IFERROR(__xludf.DUMMYFUNCTION("IMPORTRANGE(""https://docs.google.com/spreadsheets/d/1-uDff_7J0KD5mKrp0Vvzr7lt3OU09vwQwhkpOPPYv2Y/edit?usp=sharing"",""งบพรบ!CP22"")"),19590)</f>
        <v>19590</v>
      </c>
      <c r="N178" s="47">
        <f ca="1">IFERROR(__xludf.DUMMYFUNCTION("IMPORTRANGE(""https://docs.google.com/spreadsheets/d/1-uDff_7J0KD5mKrp0Vvzr7lt3OU09vwQwhkpOPPYv2Y/edit?usp=sharing"",""งบพรบ!CR22"")"),0)</f>
        <v>0</v>
      </c>
      <c r="O178" s="47">
        <f ca="1">IF(L178&gt;0,N178*100/L178,0)</f>
        <v>0</v>
      </c>
      <c r="P178" s="47">
        <f ca="1">IF(M178&gt;0,N178*100/M178,0)</f>
        <v>0</v>
      </c>
    </row>
    <row r="179" spans="1:16" ht="18.75" x14ac:dyDescent="0.25">
      <c r="A179" s="136"/>
      <c r="B179" s="41"/>
      <c r="C179" s="41"/>
      <c r="D179" s="42" t="s">
        <v>21</v>
      </c>
      <c r="E179" s="41"/>
      <c r="F179" s="41"/>
      <c r="G179" s="43"/>
      <c r="H179" s="147" t="s">
        <v>12</v>
      </c>
      <c r="I179" s="144"/>
      <c r="J179" s="144"/>
      <c r="K179" s="145"/>
      <c r="L179" s="47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</row>
    <row r="180" spans="1:16" ht="18.75" hidden="1" x14ac:dyDescent="0.25">
      <c r="A180" s="136"/>
      <c r="B180" s="41"/>
      <c r="C180" s="41"/>
      <c r="D180" s="41"/>
      <c r="E180" s="279" t="s">
        <v>18</v>
      </c>
      <c r="F180" s="41"/>
      <c r="G180" s="43"/>
      <c r="H180" s="146" t="s">
        <v>12</v>
      </c>
      <c r="I180" s="144"/>
      <c r="J180" s="144"/>
      <c r="K180" s="145"/>
      <c r="L180" s="50">
        <v>0</v>
      </c>
      <c r="M180" s="50">
        <v>0</v>
      </c>
      <c r="N180" s="50">
        <v>0</v>
      </c>
      <c r="O180" s="50">
        <f>IF(L180&gt;0,N180*100/L180,0)</f>
        <v>0</v>
      </c>
      <c r="P180" s="50">
        <f>IF(M180&gt;0,N180*100/M180,0)</f>
        <v>0</v>
      </c>
    </row>
    <row r="181" spans="1:16" ht="18.75" hidden="1" x14ac:dyDescent="0.25">
      <c r="A181" s="136"/>
      <c r="B181" s="41"/>
      <c r="C181" s="41"/>
      <c r="D181" s="41"/>
      <c r="E181" s="254" t="s">
        <v>19</v>
      </c>
      <c r="F181" s="41"/>
      <c r="G181" s="43"/>
      <c r="H181" s="147" t="s">
        <v>12</v>
      </c>
      <c r="I181" s="144"/>
      <c r="J181" s="144"/>
      <c r="K181" s="145"/>
      <c r="L181" s="47">
        <f ca="1">IFERROR(__xludf.DUMMYFUNCTION("IMPORTRANGE(""https://docs.google.com/spreadsheets/d/1-uDff_7J0KD5mKrp0Vvzr7lt3OU09vwQwhkpOPPYv2Y/edit?usp=sharing"",""งบพรบ!CN22"")"),0)</f>
        <v>0</v>
      </c>
      <c r="M181" s="47">
        <f ca="1">IFERROR(__xludf.DUMMYFUNCTION("IMPORTRANGE(""https://docs.google.com/spreadsheets/d/1-uDff_7J0KD5mKrp0Vvzr7lt3OU09vwQwhkpOPPYv2Y/edit?usp=sharing"",""งบพรบ!CQ22"")"),0)</f>
        <v>0</v>
      </c>
      <c r="N181" s="47">
        <f ca="1">IFERROR(__xludf.DUMMYFUNCTION("IMPORTRANGE(""https://docs.google.com/spreadsheets/d/1-uDff_7J0KD5mKrp0Vvzr7lt3OU09vwQwhkpOPPYv2Y/edit?usp=sharing"",""งบพรบ!CS22"")"),0)</f>
        <v>0</v>
      </c>
      <c r="O181" s="47">
        <f ca="1">IF(L181&gt;0,N181*100/L181,0)</f>
        <v>0</v>
      </c>
      <c r="P181" s="47">
        <f ca="1">IF(M181&gt;0,N181*100/M181,0)</f>
        <v>0</v>
      </c>
    </row>
    <row r="182" spans="1:16" ht="19.5" x14ac:dyDescent="0.3">
      <c r="A182" s="148"/>
      <c r="B182" s="149"/>
      <c r="C182" s="197" t="s">
        <v>16</v>
      </c>
      <c r="D182" s="395" t="s">
        <v>36</v>
      </c>
      <c r="E182" s="151"/>
      <c r="F182" s="151"/>
      <c r="G182" s="152"/>
      <c r="H182" s="196"/>
      <c r="I182" s="45"/>
      <c r="J182" s="45"/>
      <c r="K182" s="46"/>
      <c r="L182" s="46"/>
      <c r="M182" s="46"/>
      <c r="N182" s="46"/>
      <c r="O182" s="46"/>
      <c r="P182" s="46"/>
    </row>
    <row r="183" spans="1:16" ht="18.75" x14ac:dyDescent="0.25">
      <c r="A183" s="227"/>
      <c r="B183" s="41"/>
      <c r="C183" s="228"/>
      <c r="D183" s="229" t="s">
        <v>69</v>
      </c>
      <c r="E183" s="41"/>
      <c r="F183" s="41"/>
      <c r="G183" s="43"/>
      <c r="H183" s="230" t="s">
        <v>33</v>
      </c>
      <c r="I183" s="169">
        <f ca="1">IFERROR(__xludf.DUMMYFUNCTION("IMPORTRANGE(""https://docs.google.com/spreadsheets/d/1eHaY18a8A9IcSdp1K8H6x8fbOy06t2VsZHhMHf-1x7Y/edit?usp=sharing"",""แผน!AA22"")"),7)</f>
        <v>7</v>
      </c>
      <c r="J183" s="250">
        <v>0</v>
      </c>
      <c r="K183" s="47">
        <f ca="1">IF(I183&gt;0,J183*100/I183,0)</f>
        <v>0</v>
      </c>
      <c r="L183" s="46"/>
      <c r="M183" s="46"/>
      <c r="N183" s="46"/>
      <c r="O183" s="46"/>
      <c r="P183" s="46"/>
    </row>
    <row r="184" spans="1:16" ht="18.75" hidden="1" x14ac:dyDescent="0.25">
      <c r="A184" s="227"/>
      <c r="B184" s="228"/>
      <c r="C184" s="228"/>
      <c r="D184" s="231" t="s">
        <v>70</v>
      </c>
      <c r="E184" s="41"/>
      <c r="F184" s="41"/>
      <c r="G184" s="43"/>
      <c r="H184" s="232" t="s">
        <v>33</v>
      </c>
      <c r="I184" s="200">
        <v>0</v>
      </c>
      <c r="J184" s="200">
        <v>0</v>
      </c>
      <c r="K184" s="50">
        <f>IF(I184&gt;0,J184*100/I184,0)</f>
        <v>0</v>
      </c>
      <c r="L184" s="46"/>
      <c r="M184" s="46"/>
      <c r="N184" s="46"/>
      <c r="O184" s="46"/>
      <c r="P184" s="46"/>
    </row>
    <row r="185" spans="1:16" ht="19.5" hidden="1" x14ac:dyDescent="0.3">
      <c r="A185" s="220"/>
      <c r="B185" s="221" t="s">
        <v>71</v>
      </c>
      <c r="C185" s="222"/>
      <c r="D185" s="151"/>
      <c r="E185" s="151"/>
      <c r="F185" s="151"/>
      <c r="G185" s="152"/>
      <c r="H185" s="223" t="s">
        <v>33</v>
      </c>
      <c r="I185" s="224">
        <f ca="1">I230+I231</f>
        <v>0</v>
      </c>
      <c r="J185" s="224">
        <f>J230+J231</f>
        <v>0</v>
      </c>
      <c r="K185" s="225">
        <f ca="1">IF(I185&gt;0,J185*100/I185,0)</f>
        <v>0</v>
      </c>
      <c r="L185" s="226"/>
      <c r="M185" s="226"/>
      <c r="N185" s="226"/>
      <c r="O185" s="226"/>
      <c r="P185" s="226"/>
    </row>
    <row r="186" spans="1:16" ht="19.5" x14ac:dyDescent="0.3">
      <c r="A186" s="136"/>
      <c r="B186" s="41"/>
      <c r="C186" s="197" t="s">
        <v>16</v>
      </c>
      <c r="D186" s="397" t="s">
        <v>17</v>
      </c>
      <c r="E186" s="41"/>
      <c r="F186" s="41"/>
      <c r="G186" s="43"/>
      <c r="H186" s="139" t="s">
        <v>12</v>
      </c>
      <c r="I186" s="45"/>
      <c r="J186" s="45"/>
      <c r="K186" s="46"/>
      <c r="L186" s="140">
        <f ca="1">L187+L188</f>
        <v>222500</v>
      </c>
      <c r="M186" s="140">
        <f ca="1">M187+M188</f>
        <v>152500</v>
      </c>
      <c r="N186" s="140">
        <f ca="1">N187+N188</f>
        <v>28000</v>
      </c>
      <c r="O186" s="140">
        <f ca="1">IF(L186&gt;0,N186*100/L186,0)</f>
        <v>12.584269662921349</v>
      </c>
      <c r="P186" s="140">
        <f ca="1">IF(M186&gt;0,N186*100/M186,0)</f>
        <v>18.360655737704917</v>
      </c>
    </row>
    <row r="187" spans="1:16" ht="18.75" hidden="1" x14ac:dyDescent="0.25">
      <c r="A187" s="136"/>
      <c r="B187" s="41"/>
      <c r="C187" s="41"/>
      <c r="D187" s="41"/>
      <c r="E187" s="279" t="s">
        <v>18</v>
      </c>
      <c r="F187" s="41"/>
      <c r="G187" s="43"/>
      <c r="H187" s="141" t="s">
        <v>12</v>
      </c>
      <c r="I187" s="45"/>
      <c r="J187" s="45"/>
      <c r="K187" s="46"/>
      <c r="L187" s="50">
        <f>L190+L193</f>
        <v>0</v>
      </c>
      <c r="M187" s="50">
        <f>M190+M193</f>
        <v>0</v>
      </c>
      <c r="N187" s="50">
        <f>N190+N193</f>
        <v>0</v>
      </c>
      <c r="O187" s="50">
        <f>IF(L187&gt;0,N187*100/L187,0)</f>
        <v>0</v>
      </c>
      <c r="P187" s="50">
        <f>IF(M187&gt;0,N187*100/M187,0)</f>
        <v>0</v>
      </c>
    </row>
    <row r="188" spans="1:16" ht="18.75" hidden="1" x14ac:dyDescent="0.25">
      <c r="A188" s="136"/>
      <c r="B188" s="41"/>
      <c r="C188" s="41"/>
      <c r="D188" s="41"/>
      <c r="E188" s="254" t="s">
        <v>19</v>
      </c>
      <c r="F188" s="41"/>
      <c r="G188" s="43"/>
      <c r="H188" s="142" t="s">
        <v>12</v>
      </c>
      <c r="I188" s="45"/>
      <c r="J188" s="45"/>
      <c r="K188" s="46"/>
      <c r="L188" s="47">
        <f ca="1">L191+L194</f>
        <v>222500</v>
      </c>
      <c r="M188" s="47">
        <f ca="1">M191+M194</f>
        <v>152500</v>
      </c>
      <c r="N188" s="47">
        <f ca="1">N191+N194</f>
        <v>28000</v>
      </c>
      <c r="O188" s="47">
        <f ca="1">IF(L188&gt;0,N188*100/L188,0)</f>
        <v>12.584269662921349</v>
      </c>
      <c r="P188" s="47">
        <f ca="1">IF(M188&gt;0,N188*100/M188,0)</f>
        <v>18.360655737704917</v>
      </c>
    </row>
    <row r="189" spans="1:16" ht="18.75" x14ac:dyDescent="0.25">
      <c r="A189" s="136"/>
      <c r="B189" s="41"/>
      <c r="C189" s="41"/>
      <c r="D189" s="42" t="s">
        <v>20</v>
      </c>
      <c r="E189" s="41"/>
      <c r="F189" s="41"/>
      <c r="G189" s="43"/>
      <c r="H189" s="143" t="s">
        <v>12</v>
      </c>
      <c r="I189" s="144"/>
      <c r="J189" s="144"/>
      <c r="K189" s="145"/>
      <c r="L189" s="47">
        <f ca="1">L190+L191</f>
        <v>222500</v>
      </c>
      <c r="M189" s="47">
        <f ca="1">M190+M191</f>
        <v>152500</v>
      </c>
      <c r="N189" s="47">
        <f ca="1">N190+N191</f>
        <v>28000</v>
      </c>
      <c r="O189" s="47">
        <f ca="1">IF(L189&gt;0,N189*100/L189,0)</f>
        <v>12.584269662921349</v>
      </c>
      <c r="P189" s="47">
        <f ca="1">IF(M189&gt;0,N189*100/M189,0)</f>
        <v>18.360655737704917</v>
      </c>
    </row>
    <row r="190" spans="1:16" ht="18.75" hidden="1" x14ac:dyDescent="0.25">
      <c r="A190" s="136"/>
      <c r="B190" s="41"/>
      <c r="C190" s="41"/>
      <c r="D190" s="41"/>
      <c r="E190" s="279" t="s">
        <v>34</v>
      </c>
      <c r="F190" s="41"/>
      <c r="G190" s="43"/>
      <c r="H190" s="146" t="s">
        <v>12</v>
      </c>
      <c r="I190" s="144"/>
      <c r="J190" s="144"/>
      <c r="K190" s="145"/>
      <c r="L190" s="50">
        <v>0</v>
      </c>
      <c r="M190" s="50">
        <v>0</v>
      </c>
      <c r="N190" s="50">
        <v>0</v>
      </c>
      <c r="O190" s="50">
        <f>IF(L190&gt;0,N190*100/L190,0)</f>
        <v>0</v>
      </c>
      <c r="P190" s="50">
        <f>IF(M190&gt;0,N190*100/M190,0)</f>
        <v>0</v>
      </c>
    </row>
    <row r="191" spans="1:16" ht="18.75" hidden="1" x14ac:dyDescent="0.25">
      <c r="A191" s="136"/>
      <c r="B191" s="41"/>
      <c r="C191" s="41"/>
      <c r="D191" s="41"/>
      <c r="E191" s="254" t="s">
        <v>35</v>
      </c>
      <c r="F191" s="41"/>
      <c r="G191" s="43"/>
      <c r="H191" s="143" t="s">
        <v>12</v>
      </c>
      <c r="I191" s="144"/>
      <c r="J191" s="144"/>
      <c r="K191" s="145"/>
      <c r="L191" s="47">
        <f ca="1">IFERROR(__xludf.DUMMYFUNCTION("IMPORTRANGE(""https://docs.google.com/spreadsheets/d/1-uDff_7J0KD5mKrp0Vvzr7lt3OU09vwQwhkpOPPYv2Y/edit?usp=sharing"",""งบพรบ!CU22"")"),222500)</f>
        <v>222500</v>
      </c>
      <c r="M191" s="47">
        <f ca="1">IFERROR(__xludf.DUMMYFUNCTION("IMPORTRANGE(""https://docs.google.com/spreadsheets/d/1-uDff_7J0KD5mKrp0Vvzr7lt3OU09vwQwhkpOPPYv2Y/edit?usp=sharing"",""งบพรบ!CZ22"")"),152500)</f>
        <v>152500</v>
      </c>
      <c r="N191" s="47">
        <f ca="1">IFERROR(__xludf.DUMMYFUNCTION("IMPORTRANGE(""https://docs.google.com/spreadsheets/d/1-uDff_7J0KD5mKrp0Vvzr7lt3OU09vwQwhkpOPPYv2Y/edit?usp=sharing"",""งบพรบ!DB22"")"),28000)</f>
        <v>28000</v>
      </c>
      <c r="O191" s="47">
        <f ca="1">IF(L191&gt;0,N191*100/L191,0)</f>
        <v>12.584269662921349</v>
      </c>
      <c r="P191" s="47">
        <f ca="1">IF(M191&gt;0,N191*100/M191,0)</f>
        <v>18.360655737704917</v>
      </c>
    </row>
    <row r="192" spans="1:16" ht="18.75" x14ac:dyDescent="0.25">
      <c r="A192" s="136"/>
      <c r="B192" s="41"/>
      <c r="C192" s="41"/>
      <c r="D192" s="42" t="s">
        <v>21</v>
      </c>
      <c r="E192" s="41"/>
      <c r="F192" s="41"/>
      <c r="G192" s="43"/>
      <c r="H192" s="147" t="s">
        <v>12</v>
      </c>
      <c r="I192" s="144"/>
      <c r="J192" s="144"/>
      <c r="K192" s="145"/>
      <c r="L192" s="47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</row>
    <row r="193" spans="1:16" ht="18.75" hidden="1" x14ac:dyDescent="0.25">
      <c r="A193" s="136"/>
      <c r="B193" s="41"/>
      <c r="C193" s="41"/>
      <c r="D193" s="41"/>
      <c r="E193" s="279" t="s">
        <v>18</v>
      </c>
      <c r="F193" s="41"/>
      <c r="G193" s="43"/>
      <c r="H193" s="146" t="s">
        <v>12</v>
      </c>
      <c r="I193" s="144"/>
      <c r="J193" s="144"/>
      <c r="K193" s="145"/>
      <c r="L193" s="50">
        <v>0</v>
      </c>
      <c r="M193" s="50">
        <v>0</v>
      </c>
      <c r="N193" s="50">
        <v>0</v>
      </c>
      <c r="O193" s="50">
        <f>IF(L193&gt;0,N193*100/L193,0)</f>
        <v>0</v>
      </c>
      <c r="P193" s="50">
        <f>IF(M193&gt;0,N193*100/M193,0)</f>
        <v>0</v>
      </c>
    </row>
    <row r="194" spans="1:16" ht="18.75" hidden="1" x14ac:dyDescent="0.25">
      <c r="A194" s="136"/>
      <c r="B194" s="41"/>
      <c r="C194" s="41"/>
      <c r="D194" s="41"/>
      <c r="E194" s="254" t="s">
        <v>19</v>
      </c>
      <c r="F194" s="41"/>
      <c r="G194" s="43"/>
      <c r="H194" s="147" t="s">
        <v>12</v>
      </c>
      <c r="I194" s="144"/>
      <c r="J194" s="144"/>
      <c r="K194" s="145"/>
      <c r="L194" s="47">
        <f ca="1">IFERROR(__xludf.DUMMYFUNCTION("IMPORTRANGE(""https://docs.google.com/spreadsheets/d/1-uDff_7J0KD5mKrp0Vvzr7lt3OU09vwQwhkpOPPYv2Y/edit?usp=sharing"",""งบพรบ!CX22"")"),0)</f>
        <v>0</v>
      </c>
      <c r="M194" s="47">
        <f ca="1">IFERROR(__xludf.DUMMYFUNCTION("IMPORTRANGE(""https://docs.google.com/spreadsheets/d/1-uDff_7J0KD5mKrp0Vvzr7lt3OU09vwQwhkpOPPYv2Y/edit?usp=sharing"",""งบพรบ!DA22"")"),0)</f>
        <v>0</v>
      </c>
      <c r="N194" s="47">
        <f ca="1">IFERROR(__xludf.DUMMYFUNCTION("IMPORTRANGE(""https://docs.google.com/spreadsheets/d/1-uDff_7J0KD5mKrp0Vvzr7lt3OU09vwQwhkpOPPYv2Y/edit?usp=sharing"",""งบพรบ!DC22"")"),0)</f>
        <v>0</v>
      </c>
      <c r="O194" s="47">
        <f ca="1">IF(L194&gt;0,N194*100/L194,0)</f>
        <v>0</v>
      </c>
      <c r="P194" s="47">
        <f ca="1">IF(M194&gt;0,N194*100/M194,0)</f>
        <v>0</v>
      </c>
    </row>
    <row r="195" spans="1:16" ht="19.5" x14ac:dyDescent="0.3">
      <c r="A195" s="233"/>
      <c r="B195" s="234"/>
      <c r="C195" s="235" t="s">
        <v>72</v>
      </c>
      <c r="D195" s="236"/>
      <c r="E195" s="236"/>
      <c r="F195" s="236"/>
      <c r="G195" s="237"/>
      <c r="H195" s="238" t="s">
        <v>73</v>
      </c>
      <c r="I195" s="239">
        <f ca="1">I198</f>
        <v>4</v>
      </c>
      <c r="J195" s="239">
        <f>J198</f>
        <v>0</v>
      </c>
      <c r="K195" s="240">
        <f ca="1">IF(I195&gt;0,J195*100/I195,0)</f>
        <v>0</v>
      </c>
      <c r="L195" s="241"/>
      <c r="M195" s="241"/>
      <c r="N195" s="241"/>
      <c r="O195" s="241"/>
      <c r="P195" s="241"/>
    </row>
    <row r="196" spans="1:16" ht="19.5" x14ac:dyDescent="0.3">
      <c r="A196" s="136"/>
      <c r="B196" s="41"/>
      <c r="C196" s="197" t="s">
        <v>16</v>
      </c>
      <c r="D196" s="400" t="s">
        <v>17</v>
      </c>
      <c r="E196" s="41"/>
      <c r="F196" s="41"/>
      <c r="G196" s="43"/>
      <c r="H196" s="243" t="s">
        <v>12</v>
      </c>
      <c r="I196" s="45"/>
      <c r="J196" s="45"/>
      <c r="K196" s="46"/>
      <c r="L196" s="140">
        <f ca="1">IFERROR(__xludf.DUMMYFUNCTION("IMPORTRANGE(""https://docs.google.com/spreadsheets/d/1eHaY18a8A9IcSdp1K8H6x8fbOy06t2VsZHhMHf-1x7Y/edit?usp=sharing"",""แผน!AB22"")"),6000)</f>
        <v>6000</v>
      </c>
      <c r="M196" s="46"/>
      <c r="N196" s="244">
        <v>0</v>
      </c>
      <c r="O196" s="140">
        <f ca="1">IF(L196&gt;0,N196*100/L196,0)</f>
        <v>0</v>
      </c>
      <c r="P196" s="140">
        <f>IF(M196&gt;0,N196*100/M196,0)</f>
        <v>0</v>
      </c>
    </row>
    <row r="197" spans="1:16" ht="19.5" x14ac:dyDescent="0.3">
      <c r="A197" s="148"/>
      <c r="B197" s="149"/>
      <c r="C197" s="197" t="s">
        <v>16</v>
      </c>
      <c r="D197" s="395" t="s">
        <v>36</v>
      </c>
      <c r="E197" s="151"/>
      <c r="F197" s="151"/>
      <c r="G197" s="152"/>
      <c r="H197" s="153"/>
      <c r="I197" s="45"/>
      <c r="J197" s="45"/>
      <c r="K197" s="46"/>
      <c r="L197" s="46"/>
      <c r="M197" s="46"/>
      <c r="N197" s="46"/>
      <c r="O197" s="46"/>
      <c r="P197" s="46"/>
    </row>
    <row r="198" spans="1:16" ht="18.75" x14ac:dyDescent="0.25">
      <c r="A198" s="148"/>
      <c r="B198" s="149"/>
      <c r="C198" s="149"/>
      <c r="D198" s="159" t="s">
        <v>74</v>
      </c>
      <c r="E198" s="155"/>
      <c r="F198" s="155"/>
      <c r="G198" s="153"/>
      <c r="H198" s="251" t="s">
        <v>73</v>
      </c>
      <c r="I198" s="169">
        <f ca="1">IFERROR(__xludf.DUMMYFUNCTION("IMPORTRANGE(""https://docs.google.com/spreadsheets/d/1eHaY18a8A9IcSdp1K8H6x8fbOy06t2VsZHhMHf-1x7Y/edit?usp=sharing"",""แผน!AE22"")"),4)</f>
        <v>4</v>
      </c>
      <c r="J198" s="250">
        <v>0</v>
      </c>
      <c r="K198" s="47">
        <f ca="1">IF(I198&gt;0,J198*100/I198,0)</f>
        <v>0</v>
      </c>
      <c r="L198" s="46"/>
      <c r="M198" s="46"/>
      <c r="N198" s="46"/>
      <c r="O198" s="46"/>
      <c r="P198" s="46"/>
    </row>
    <row r="199" spans="1:16" ht="18.75" x14ac:dyDescent="0.25">
      <c r="A199" s="148"/>
      <c r="B199" s="149"/>
      <c r="C199" s="149"/>
      <c r="D199" s="159" t="s">
        <v>75</v>
      </c>
      <c r="E199" s="155"/>
      <c r="F199" s="155"/>
      <c r="G199" s="153"/>
      <c r="H199" s="230" t="s">
        <v>33</v>
      </c>
      <c r="I199" s="45"/>
      <c r="J199" s="169">
        <f>J200+J201</f>
        <v>0</v>
      </c>
      <c r="K199" s="46"/>
      <c r="L199" s="46"/>
      <c r="M199" s="46"/>
      <c r="N199" s="46"/>
      <c r="O199" s="46"/>
      <c r="P199" s="46"/>
    </row>
    <row r="200" spans="1:16" ht="18.75" x14ac:dyDescent="0.25">
      <c r="A200" s="148"/>
      <c r="B200" s="149"/>
      <c r="C200" s="149"/>
      <c r="D200" s="149"/>
      <c r="E200" s="159" t="s">
        <v>76</v>
      </c>
      <c r="F200" s="155"/>
      <c r="G200" s="153"/>
      <c r="H200" s="230" t="s">
        <v>33</v>
      </c>
      <c r="I200" s="45"/>
      <c r="J200" s="250">
        <v>0</v>
      </c>
      <c r="K200" s="46"/>
      <c r="L200" s="46"/>
      <c r="M200" s="46"/>
      <c r="N200" s="46"/>
      <c r="O200" s="46"/>
      <c r="P200" s="46"/>
    </row>
    <row r="201" spans="1:16" ht="18.75" x14ac:dyDescent="0.25">
      <c r="A201" s="148"/>
      <c r="B201" s="149"/>
      <c r="C201" s="149"/>
      <c r="D201" s="149"/>
      <c r="E201" s="159" t="s">
        <v>77</v>
      </c>
      <c r="F201" s="155"/>
      <c r="G201" s="153"/>
      <c r="H201" s="230" t="s">
        <v>33</v>
      </c>
      <c r="I201" s="45"/>
      <c r="J201" s="250">
        <v>0</v>
      </c>
      <c r="K201" s="46"/>
      <c r="L201" s="46"/>
      <c r="M201" s="46"/>
      <c r="N201" s="46"/>
      <c r="O201" s="46"/>
      <c r="P201" s="46"/>
    </row>
    <row r="202" spans="1:16" ht="19.5" x14ac:dyDescent="0.3">
      <c r="A202" s="233"/>
      <c r="B202" s="234"/>
      <c r="C202" s="235" t="s">
        <v>78</v>
      </c>
      <c r="D202" s="236"/>
      <c r="E202" s="236"/>
      <c r="F202" s="236"/>
      <c r="G202" s="237"/>
      <c r="H202" s="245" t="s">
        <v>79</v>
      </c>
      <c r="I202" s="239">
        <f ca="1">I209</f>
        <v>2</v>
      </c>
      <c r="J202" s="239">
        <f>J209</f>
        <v>0</v>
      </c>
      <c r="K202" s="240">
        <f ca="1">IF(I202&gt;0,J202*100/I202,0)</f>
        <v>0</v>
      </c>
      <c r="L202" s="241"/>
      <c r="M202" s="241"/>
      <c r="N202" s="241"/>
      <c r="O202" s="241"/>
      <c r="P202" s="241"/>
    </row>
    <row r="203" spans="1:16" ht="19.5" x14ac:dyDescent="0.3">
      <c r="A203" s="136"/>
      <c r="B203" s="41"/>
      <c r="C203" s="197" t="s">
        <v>16</v>
      </c>
      <c r="D203" s="400" t="s">
        <v>17</v>
      </c>
      <c r="E203" s="41"/>
      <c r="F203" s="41"/>
      <c r="G203" s="43"/>
      <c r="H203" s="243" t="s">
        <v>12</v>
      </c>
      <c r="I203" s="144"/>
      <c r="J203" s="144"/>
      <c r="K203" s="145"/>
      <c r="L203" s="140">
        <f ca="1">L204+L205+L206+L207</f>
        <v>26000</v>
      </c>
      <c r="M203" s="46"/>
      <c r="N203" s="140">
        <f>N204+N205+N206+N207</f>
        <v>0</v>
      </c>
      <c r="O203" s="140">
        <f ca="1">IF(L203&gt;0,N203*100/L203,0)</f>
        <v>0</v>
      </c>
      <c r="P203" s="140">
        <f>IF(M203&gt;0,N203*100/M203,0)</f>
        <v>0</v>
      </c>
    </row>
    <row r="204" spans="1:16" ht="18.75" x14ac:dyDescent="0.25">
      <c r="A204" s="136"/>
      <c r="B204" s="228"/>
      <c r="C204" s="41"/>
      <c r="D204" s="253" t="s">
        <v>153</v>
      </c>
      <c r="E204" s="41"/>
      <c r="F204" s="41"/>
      <c r="G204" s="43"/>
      <c r="H204" s="143" t="s">
        <v>12</v>
      </c>
      <c r="I204" s="144"/>
      <c r="J204" s="144"/>
      <c r="K204" s="145"/>
      <c r="L204" s="47">
        <f ca="1">IFERROR(__xludf.DUMMYFUNCTION("IMPORTRANGE(""https://docs.google.com/spreadsheets/d/1eHaY18a8A9IcSdp1K8H6x8fbOy06t2VsZHhMHf-1x7Y/edit?usp=sharing"",""แผน!AG22"")"),2000)</f>
        <v>2000</v>
      </c>
      <c r="M204" s="46"/>
      <c r="N204" s="248">
        <v>0</v>
      </c>
      <c r="O204" s="145"/>
      <c r="P204" s="46"/>
    </row>
    <row r="205" spans="1:16" ht="18.75" x14ac:dyDescent="0.25">
      <c r="A205" s="227"/>
      <c r="B205" s="228"/>
      <c r="C205" s="41"/>
      <c r="D205" s="254" t="s">
        <v>81</v>
      </c>
      <c r="E205" s="41"/>
      <c r="F205" s="41"/>
      <c r="G205" s="43"/>
      <c r="H205" s="44" t="s">
        <v>12</v>
      </c>
      <c r="I205" s="45"/>
      <c r="J205" s="45"/>
      <c r="K205" s="46"/>
      <c r="L205" s="47">
        <f ca="1">IFERROR(__xludf.DUMMYFUNCTION("IMPORTRANGE(""https://docs.google.com/spreadsheets/d/1eHaY18a8A9IcSdp1K8H6x8fbOy06t2VsZHhMHf-1x7Y/edit?usp=sharing"",""แผน!AH22"")"),0)</f>
        <v>0</v>
      </c>
      <c r="M205" s="46"/>
      <c r="N205" s="248">
        <v>0</v>
      </c>
      <c r="O205" s="145"/>
      <c r="P205" s="46"/>
    </row>
    <row r="206" spans="1:16" ht="18.75" x14ac:dyDescent="0.25">
      <c r="A206" s="227"/>
      <c r="B206" s="228"/>
      <c r="C206" s="41"/>
      <c r="D206" s="254" t="s">
        <v>82</v>
      </c>
      <c r="E206" s="41"/>
      <c r="F206" s="41"/>
      <c r="G206" s="43"/>
      <c r="H206" s="44" t="s">
        <v>12</v>
      </c>
      <c r="I206" s="45"/>
      <c r="J206" s="45"/>
      <c r="K206" s="46"/>
      <c r="L206" s="47">
        <f ca="1">IFERROR(__xludf.DUMMYFUNCTION("IMPORTRANGE(""https://docs.google.com/spreadsheets/d/1eHaY18a8A9IcSdp1K8H6x8fbOy06t2VsZHhMHf-1x7Y/edit?usp=sharing"",""แผน!AI22"")"),16000)</f>
        <v>16000</v>
      </c>
      <c r="M206" s="46"/>
      <c r="N206" s="248">
        <v>0</v>
      </c>
      <c r="O206" s="145"/>
      <c r="P206" s="46"/>
    </row>
    <row r="207" spans="1:16" ht="18.75" x14ac:dyDescent="0.25">
      <c r="A207" s="227"/>
      <c r="B207" s="228"/>
      <c r="C207" s="41"/>
      <c r="D207" s="254" t="s">
        <v>83</v>
      </c>
      <c r="E207" s="41"/>
      <c r="F207" s="41"/>
      <c r="G207" s="43"/>
      <c r="H207" s="44" t="s">
        <v>12</v>
      </c>
      <c r="I207" s="45"/>
      <c r="J207" s="45"/>
      <c r="K207" s="46"/>
      <c r="L207" s="47">
        <f ca="1">IFERROR(__xludf.DUMMYFUNCTION("IMPORTRANGE(""https://docs.google.com/spreadsheets/d/1eHaY18a8A9IcSdp1K8H6x8fbOy06t2VsZHhMHf-1x7Y/edit?usp=sharing"",""แผน!AJ22"")"),8000)</f>
        <v>8000</v>
      </c>
      <c r="M207" s="46"/>
      <c r="N207" s="248">
        <v>0</v>
      </c>
      <c r="O207" s="145"/>
      <c r="P207" s="46"/>
    </row>
    <row r="208" spans="1:16" ht="19.5" x14ac:dyDescent="0.3">
      <c r="A208" s="148"/>
      <c r="B208" s="149"/>
      <c r="C208" s="197" t="s">
        <v>16</v>
      </c>
      <c r="D208" s="395" t="s">
        <v>36</v>
      </c>
      <c r="E208" s="151"/>
      <c r="F208" s="151"/>
      <c r="G208" s="152"/>
      <c r="H208" s="153"/>
      <c r="I208" s="144"/>
      <c r="J208" s="144"/>
      <c r="K208" s="145"/>
      <c r="L208" s="145"/>
      <c r="M208" s="145"/>
      <c r="N208" s="145"/>
      <c r="O208" s="145"/>
      <c r="P208" s="145"/>
    </row>
    <row r="209" spans="1:16" ht="18.75" x14ac:dyDescent="0.25">
      <c r="A209" s="148"/>
      <c r="B209" s="149"/>
      <c r="C209" s="149"/>
      <c r="D209" s="154" t="s">
        <v>84</v>
      </c>
      <c r="E209" s="155"/>
      <c r="F209" s="155"/>
      <c r="G209" s="153"/>
      <c r="H209" s="249" t="s">
        <v>79</v>
      </c>
      <c r="I209" s="169">
        <f ca="1">IFERROR(__xludf.DUMMYFUNCTION("IMPORTRANGE(""https://docs.google.com/spreadsheets/d/1eHaY18a8A9IcSdp1K8H6x8fbOy06t2VsZHhMHf-1x7Y/edit?usp=sharing"",""แผน!AK22"")"),2)</f>
        <v>2</v>
      </c>
      <c r="J209" s="250">
        <v>0</v>
      </c>
      <c r="K209" s="163">
        <f ca="1">IF(I209&gt;0,J209*100/I209,0)</f>
        <v>0</v>
      </c>
      <c r="L209" s="46"/>
      <c r="M209" s="46"/>
      <c r="N209" s="46"/>
      <c r="O209" s="46"/>
      <c r="P209" s="46"/>
    </row>
    <row r="210" spans="1:16" ht="18.75" x14ac:dyDescent="0.25">
      <c r="A210" s="148"/>
      <c r="B210" s="149"/>
      <c r="C210" s="149"/>
      <c r="D210" s="159" t="s">
        <v>48</v>
      </c>
      <c r="E210" s="155"/>
      <c r="F210" s="155"/>
      <c r="G210" s="153"/>
      <c r="H210" s="153"/>
      <c r="I210" s="45"/>
      <c r="J210" s="45"/>
      <c r="K210" s="145"/>
      <c r="L210" s="46"/>
      <c r="M210" s="46"/>
      <c r="N210" s="46"/>
      <c r="O210" s="46"/>
      <c r="P210" s="46"/>
    </row>
    <row r="211" spans="1:16" ht="18.75" x14ac:dyDescent="0.25">
      <c r="A211" s="148"/>
      <c r="B211" s="149"/>
      <c r="C211" s="149"/>
      <c r="D211" s="155"/>
      <c r="E211" s="159" t="s">
        <v>85</v>
      </c>
      <c r="F211" s="155"/>
      <c r="G211" s="153"/>
      <c r="H211" s="249" t="s">
        <v>79</v>
      </c>
      <c r="I211" s="169">
        <f ca="1">IFERROR(__xludf.DUMMYFUNCTION("IMPORTRANGE(""https://docs.google.com/spreadsheets/d/1eHaY18a8A9IcSdp1K8H6x8fbOy06t2VsZHhMHf-1x7Y/edit?usp=sharing"",""แผน!AK22"")"),2)</f>
        <v>2</v>
      </c>
      <c r="J211" s="250">
        <v>0</v>
      </c>
      <c r="K211" s="163">
        <f ca="1">IF(I211&gt;0,J211*100/I211,0)</f>
        <v>0</v>
      </c>
      <c r="L211" s="46"/>
      <c r="M211" s="46"/>
      <c r="N211" s="46"/>
      <c r="O211" s="46"/>
      <c r="P211" s="46"/>
    </row>
    <row r="212" spans="1:16" ht="18.75" x14ac:dyDescent="0.25">
      <c r="A212" s="148"/>
      <c r="B212" s="149"/>
      <c r="C212" s="149"/>
      <c r="D212" s="155"/>
      <c r="E212" s="159" t="s">
        <v>86</v>
      </c>
      <c r="F212" s="155"/>
      <c r="G212" s="155"/>
      <c r="H212" s="251" t="s">
        <v>87</v>
      </c>
      <c r="I212" s="169">
        <f ca="1">IFERROR(__xludf.DUMMYFUNCTION("IMPORTRANGE(""https://docs.google.com/spreadsheets/d/1eHaY18a8A9IcSdp1K8H6x8fbOy06t2VsZHhMHf-1x7Y/edit?usp=sharing"",""แผน!AK22"")"),2)</f>
        <v>2</v>
      </c>
      <c r="J212" s="250">
        <v>0</v>
      </c>
      <c r="K212" s="163">
        <f ca="1">IF(I212&gt;0,J212*100/I212,0)</f>
        <v>0</v>
      </c>
      <c r="L212" s="46"/>
      <c r="M212" s="46"/>
      <c r="N212" s="46"/>
      <c r="O212" s="46"/>
      <c r="P212" s="46"/>
    </row>
    <row r="213" spans="1:16" ht="19.5" hidden="1" x14ac:dyDescent="0.3">
      <c r="A213" s="233"/>
      <c r="B213" s="234"/>
      <c r="C213" s="235" t="s">
        <v>88</v>
      </c>
      <c r="D213" s="236"/>
      <c r="E213" s="236"/>
      <c r="F213" s="236"/>
      <c r="G213" s="237"/>
      <c r="H213" s="245" t="s">
        <v>79</v>
      </c>
      <c r="I213" s="239">
        <f ca="1">I220</f>
        <v>0</v>
      </c>
      <c r="J213" s="239">
        <f>J220</f>
        <v>0</v>
      </c>
      <c r="K213" s="240">
        <f ca="1">IF(I213&gt;0,J213*100/I213,0)</f>
        <v>0</v>
      </c>
      <c r="L213" s="241"/>
      <c r="M213" s="241"/>
      <c r="N213" s="241"/>
      <c r="O213" s="241"/>
      <c r="P213" s="241"/>
    </row>
    <row r="214" spans="1:16" ht="19.5" hidden="1" x14ac:dyDescent="0.3">
      <c r="A214" s="136"/>
      <c r="B214" s="41"/>
      <c r="C214" s="197" t="s">
        <v>16</v>
      </c>
      <c r="D214" s="400" t="s">
        <v>17</v>
      </c>
      <c r="E214" s="41"/>
      <c r="F214" s="41"/>
      <c r="G214" s="43"/>
      <c r="H214" s="243" t="s">
        <v>12</v>
      </c>
      <c r="I214" s="144"/>
      <c r="J214" s="144"/>
      <c r="K214" s="145"/>
      <c r="L214" s="140">
        <f ca="1">L215+L216+L217</f>
        <v>0</v>
      </c>
      <c r="M214" s="46"/>
      <c r="N214" s="140">
        <f>N215+N216+N217</f>
        <v>0</v>
      </c>
      <c r="O214" s="140">
        <f ca="1">IF(L214&gt;0,N214*100/L214,0)</f>
        <v>0</v>
      </c>
      <c r="P214" s="140">
        <f>IF(M214&gt;0,N214*100/M214,0)</f>
        <v>0</v>
      </c>
    </row>
    <row r="215" spans="1:16" ht="18.75" hidden="1" x14ac:dyDescent="0.25">
      <c r="A215" s="136"/>
      <c r="B215" s="228"/>
      <c r="C215" s="41"/>
      <c r="D215" s="254" t="s">
        <v>80</v>
      </c>
      <c r="E215" s="41"/>
      <c r="F215" s="41"/>
      <c r="G215" s="43"/>
      <c r="H215" s="143" t="s">
        <v>12</v>
      </c>
      <c r="I215" s="144"/>
      <c r="J215" s="144"/>
      <c r="K215" s="145"/>
      <c r="L215" s="47">
        <f ca="1">IFERROR(__xludf.DUMMYFUNCTION("IMPORTRANGE(""https://docs.google.com/spreadsheets/d/1eHaY18a8A9IcSdp1K8H6x8fbOy06t2VsZHhMHf-1x7Y/edit?usp=sharing"",""แผน!AM22"")"),0)</f>
        <v>0</v>
      </c>
      <c r="M215" s="46"/>
      <c r="N215" s="248">
        <v>0</v>
      </c>
      <c r="O215" s="145"/>
      <c r="P215" s="46"/>
    </row>
    <row r="216" spans="1:16" ht="18.75" hidden="1" x14ac:dyDescent="0.25">
      <c r="A216" s="227"/>
      <c r="B216" s="228"/>
      <c r="C216" s="228"/>
      <c r="D216" s="254" t="s">
        <v>89</v>
      </c>
      <c r="E216" s="41"/>
      <c r="F216" s="41"/>
      <c r="G216" s="43"/>
      <c r="H216" s="143" t="s">
        <v>12</v>
      </c>
      <c r="I216" s="45"/>
      <c r="J216" s="45"/>
      <c r="K216" s="46"/>
      <c r="L216" s="47">
        <f ca="1">IFERROR(__xludf.DUMMYFUNCTION("IMPORTRANGE(""https://docs.google.com/spreadsheets/d/1eHaY18a8A9IcSdp1K8H6x8fbOy06t2VsZHhMHf-1x7Y/edit?usp=sharing"",""แผน!AN22"")"),0)</f>
        <v>0</v>
      </c>
      <c r="M216" s="46"/>
      <c r="N216" s="248">
        <v>0</v>
      </c>
      <c r="O216" s="145"/>
      <c r="P216" s="46"/>
    </row>
    <row r="217" spans="1:16" ht="18.75" hidden="1" x14ac:dyDescent="0.25">
      <c r="A217" s="227"/>
      <c r="B217" s="228"/>
      <c r="C217" s="228"/>
      <c r="D217" s="254" t="s">
        <v>82</v>
      </c>
      <c r="E217" s="41"/>
      <c r="F217" s="41"/>
      <c r="G217" s="43"/>
      <c r="H217" s="143" t="s">
        <v>12</v>
      </c>
      <c r="I217" s="45"/>
      <c r="J217" s="45"/>
      <c r="K217" s="46"/>
      <c r="L217" s="47">
        <f ca="1">IFERROR(__xludf.DUMMYFUNCTION("IMPORTRANGE(""https://docs.google.com/spreadsheets/d/1eHaY18a8A9IcSdp1K8H6x8fbOy06t2VsZHhMHf-1x7Y/edit?usp=sharing"",""แผน!AO22"")"),0)</f>
        <v>0</v>
      </c>
      <c r="M217" s="46"/>
      <c r="N217" s="248">
        <v>0</v>
      </c>
      <c r="O217" s="145"/>
      <c r="P217" s="46"/>
    </row>
    <row r="218" spans="1:16" ht="19.5" hidden="1" x14ac:dyDescent="0.3">
      <c r="A218" s="148"/>
      <c r="B218" s="149"/>
      <c r="C218" s="252" t="s">
        <v>16</v>
      </c>
      <c r="D218" s="395" t="s">
        <v>36</v>
      </c>
      <c r="E218" s="151"/>
      <c r="F218" s="151"/>
      <c r="G218" s="152"/>
      <c r="H218" s="153"/>
      <c r="I218" s="144"/>
      <c r="J218" s="45"/>
      <c r="K218" s="46"/>
      <c r="L218" s="46"/>
      <c r="M218" s="46"/>
      <c r="N218" s="46"/>
      <c r="O218" s="145"/>
      <c r="P218" s="145"/>
    </row>
    <row r="219" spans="1:16" ht="18.75" hidden="1" x14ac:dyDescent="0.25">
      <c r="A219" s="148"/>
      <c r="B219" s="149"/>
      <c r="C219" s="149"/>
      <c r="D219" s="154" t="s">
        <v>90</v>
      </c>
      <c r="E219" s="155"/>
      <c r="F219" s="155"/>
      <c r="G219" s="153"/>
      <c r="H219" s="249" t="s">
        <v>79</v>
      </c>
      <c r="I219" s="169">
        <f ca="1">IFERROR(__xludf.DUMMYFUNCTION("IMPORTRANGE(""https://docs.google.com/spreadsheets/d/1eHaY18a8A9IcSdp1K8H6x8fbOy06t2VsZHhMHf-1x7Y/edit?usp=sharing"",""แผน!AP22"")"),0)</f>
        <v>0</v>
      </c>
      <c r="J219" s="250">
        <v>0</v>
      </c>
      <c r="K219" s="47">
        <f ca="1">IF(I219&gt;0,J219*100/I219,0)</f>
        <v>0</v>
      </c>
      <c r="L219" s="46"/>
      <c r="M219" s="46"/>
      <c r="N219" s="46"/>
      <c r="O219" s="46"/>
      <c r="P219" s="46"/>
    </row>
    <row r="220" spans="1:16" ht="18.75" hidden="1" x14ac:dyDescent="0.25">
      <c r="A220" s="148"/>
      <c r="B220" s="149"/>
      <c r="C220" s="149"/>
      <c r="D220" s="154" t="s">
        <v>91</v>
      </c>
      <c r="E220" s="155"/>
      <c r="F220" s="155"/>
      <c r="G220" s="153"/>
      <c r="H220" s="249" t="s">
        <v>79</v>
      </c>
      <c r="I220" s="169">
        <f ca="1">IFERROR(__xludf.DUMMYFUNCTION("IMPORTRANGE(""https://docs.google.com/spreadsheets/d/1eHaY18a8A9IcSdp1K8H6x8fbOy06t2VsZHhMHf-1x7Y/edit?usp=sharing"",""แผน!AP22"")"),0)</f>
        <v>0</v>
      </c>
      <c r="J220" s="250">
        <v>0</v>
      </c>
      <c r="K220" s="47">
        <f ca="1">IF(I220&gt;0,J220*100/I220,0)</f>
        <v>0</v>
      </c>
      <c r="L220" s="46"/>
      <c r="M220" s="46"/>
      <c r="N220" s="46"/>
      <c r="O220" s="46"/>
      <c r="P220" s="46"/>
    </row>
    <row r="221" spans="1:16" ht="19.5" x14ac:dyDescent="0.3">
      <c r="A221" s="233"/>
      <c r="B221" s="234"/>
      <c r="C221" s="235" t="s">
        <v>92</v>
      </c>
      <c r="D221" s="236"/>
      <c r="E221" s="236"/>
      <c r="F221" s="236"/>
      <c r="G221" s="237"/>
      <c r="H221" s="238" t="s">
        <v>93</v>
      </c>
      <c r="I221" s="239">
        <f ca="1">I229</f>
        <v>50000</v>
      </c>
      <c r="J221" s="239">
        <f>J229</f>
        <v>0</v>
      </c>
      <c r="K221" s="240">
        <f ca="1">IF(I221&gt;0,J221*100/I221,0)</f>
        <v>0</v>
      </c>
      <c r="L221" s="241"/>
      <c r="M221" s="241"/>
      <c r="N221" s="241"/>
      <c r="O221" s="241"/>
      <c r="P221" s="241"/>
    </row>
    <row r="222" spans="1:16" ht="19.5" x14ac:dyDescent="0.3">
      <c r="A222" s="136"/>
      <c r="B222" s="41"/>
      <c r="C222" s="197" t="s">
        <v>16</v>
      </c>
      <c r="D222" s="400" t="s">
        <v>17</v>
      </c>
      <c r="E222" s="41"/>
      <c r="F222" s="41"/>
      <c r="G222" s="43"/>
      <c r="H222" s="243" t="s">
        <v>12</v>
      </c>
      <c r="I222" s="144"/>
      <c r="J222" s="144"/>
      <c r="K222" s="145"/>
      <c r="L222" s="140">
        <f ca="1">L223+L224+L225</f>
        <v>8500</v>
      </c>
      <c r="M222" s="46"/>
      <c r="N222" s="140">
        <f>N223+N224+N225</f>
        <v>0</v>
      </c>
      <c r="O222" s="140">
        <f ca="1">IF(L222&gt;0,N222*100/L222,0)</f>
        <v>0</v>
      </c>
      <c r="P222" s="140">
        <f>IF(M222&gt;0,N222*100/M222,0)</f>
        <v>0</v>
      </c>
    </row>
    <row r="223" spans="1:16" ht="18.75" x14ac:dyDescent="0.25">
      <c r="A223" s="136"/>
      <c r="B223" s="228"/>
      <c r="C223" s="41"/>
      <c r="D223" s="253" t="s">
        <v>94</v>
      </c>
      <c r="E223" s="41"/>
      <c r="F223" s="41"/>
      <c r="G223" s="43"/>
      <c r="H223" s="143" t="s">
        <v>12</v>
      </c>
      <c r="I223" s="144"/>
      <c r="J223" s="144"/>
      <c r="K223" s="145"/>
      <c r="L223" s="47">
        <f ca="1">IFERROR(__xludf.DUMMYFUNCTION("IMPORTRANGE(""https://docs.google.com/spreadsheets/d/1eHaY18a8A9IcSdp1K8H6x8fbOy06t2VsZHhMHf-1x7Y/edit?usp=sharing"",""แผน!AR22"")"),7000)</f>
        <v>7000</v>
      </c>
      <c r="M223" s="46"/>
      <c r="N223" s="248">
        <v>0</v>
      </c>
      <c r="O223" s="145"/>
      <c r="P223" s="46"/>
    </row>
    <row r="224" spans="1:16" ht="18.75" x14ac:dyDescent="0.25">
      <c r="A224" s="227"/>
      <c r="B224" s="228"/>
      <c r="C224" s="228"/>
      <c r="D224" s="254" t="s">
        <v>95</v>
      </c>
      <c r="E224" s="41"/>
      <c r="F224" s="41"/>
      <c r="G224" s="43"/>
      <c r="H224" s="143" t="s">
        <v>12</v>
      </c>
      <c r="I224" s="45"/>
      <c r="J224" s="45"/>
      <c r="K224" s="46"/>
      <c r="L224" s="47">
        <f ca="1">IFERROR(__xludf.DUMMYFUNCTION("IMPORTRANGE(""https://docs.google.com/spreadsheets/d/1eHaY18a8A9IcSdp1K8H6x8fbOy06t2VsZHhMHf-1x7Y/edit?usp=sharing"",""แผน!AS22"")"),1500)</f>
        <v>1500</v>
      </c>
      <c r="M224" s="46"/>
      <c r="N224" s="248">
        <v>0</v>
      </c>
      <c r="O224" s="145"/>
      <c r="P224" s="46"/>
    </row>
    <row r="225" spans="1:16" ht="18.75" x14ac:dyDescent="0.25">
      <c r="A225" s="227"/>
      <c r="B225" s="228"/>
      <c r="C225" s="228"/>
      <c r="D225" s="254" t="s">
        <v>82</v>
      </c>
      <c r="E225" s="41"/>
      <c r="F225" s="41"/>
      <c r="G225" s="43"/>
      <c r="H225" s="143" t="s">
        <v>12</v>
      </c>
      <c r="I225" s="45"/>
      <c r="J225" s="45"/>
      <c r="K225" s="46"/>
      <c r="L225" s="47">
        <f ca="1">IFERROR(__xludf.DUMMYFUNCTION("IMPORTRANGE(""https://docs.google.com/spreadsheets/d/1eHaY18a8A9IcSdp1K8H6x8fbOy06t2VsZHhMHf-1x7Y/edit?usp=sharing"",""แผน!AT22"")"),0)</f>
        <v>0</v>
      </c>
      <c r="M225" s="46"/>
      <c r="N225" s="248">
        <v>0</v>
      </c>
      <c r="O225" s="145"/>
      <c r="P225" s="46"/>
    </row>
    <row r="226" spans="1:16" ht="19.5" x14ac:dyDescent="0.3">
      <c r="A226" s="148"/>
      <c r="B226" s="149"/>
      <c r="C226" s="252" t="s">
        <v>16</v>
      </c>
      <c r="D226" s="395" t="s">
        <v>36</v>
      </c>
      <c r="E226" s="151"/>
      <c r="F226" s="151"/>
      <c r="G226" s="152"/>
      <c r="H226" s="153"/>
      <c r="I226" s="144"/>
      <c r="J226" s="144"/>
      <c r="K226" s="145"/>
      <c r="L226" s="145"/>
      <c r="M226" s="145"/>
      <c r="N226" s="145"/>
      <c r="O226" s="145"/>
      <c r="P226" s="145"/>
    </row>
    <row r="227" spans="1:16" ht="18.75" x14ac:dyDescent="0.25">
      <c r="A227" s="148"/>
      <c r="B227" s="149"/>
      <c r="C227" s="149"/>
      <c r="D227" s="254" t="s">
        <v>96</v>
      </c>
      <c r="E227" s="155"/>
      <c r="F227" s="155"/>
      <c r="G227" s="153"/>
      <c r="H227" s="153"/>
      <c r="I227" s="45"/>
      <c r="J227" s="45"/>
      <c r="K227" s="145"/>
      <c r="L227" s="145"/>
      <c r="M227" s="145"/>
      <c r="N227" s="145"/>
      <c r="O227" s="145"/>
      <c r="P227" s="145"/>
    </row>
    <row r="228" spans="1:16" ht="18.75" x14ac:dyDescent="0.25">
      <c r="A228" s="148"/>
      <c r="B228" s="149"/>
      <c r="C228" s="149"/>
      <c r="D228" s="149"/>
      <c r="E228" s="154" t="s">
        <v>97</v>
      </c>
      <c r="F228" s="155"/>
      <c r="G228" s="153"/>
      <c r="H228" s="251" t="s">
        <v>93</v>
      </c>
      <c r="I228" s="169">
        <f ca="1">IFERROR(__xludf.DUMMYFUNCTION("IMPORTRANGE(""https://docs.google.com/spreadsheets/d/1eHaY18a8A9IcSdp1K8H6x8fbOy06t2VsZHhMHf-1x7Y/edit?usp=sharing"",""แผน!AV22"")"),50000)</f>
        <v>50000</v>
      </c>
      <c r="J228" s="250">
        <v>0</v>
      </c>
      <c r="K228" s="163">
        <f ca="1">IF(I228&gt;0,J228*100/I228,0)</f>
        <v>0</v>
      </c>
      <c r="L228" s="145"/>
      <c r="M228" s="145"/>
      <c r="N228" s="145"/>
      <c r="O228" s="145"/>
      <c r="P228" s="145"/>
    </row>
    <row r="229" spans="1:16" ht="18.75" x14ac:dyDescent="0.25">
      <c r="A229" s="148"/>
      <c r="B229" s="149"/>
      <c r="C229" s="149"/>
      <c r="D229" s="149"/>
      <c r="E229" s="154" t="s">
        <v>98</v>
      </c>
      <c r="F229" s="155"/>
      <c r="G229" s="153"/>
      <c r="H229" s="251" t="s">
        <v>93</v>
      </c>
      <c r="I229" s="169">
        <f ca="1">IFERROR(__xludf.DUMMYFUNCTION("IMPORTRANGE(""https://docs.google.com/spreadsheets/d/1eHaY18a8A9IcSdp1K8H6x8fbOy06t2VsZHhMHf-1x7Y/edit?usp=sharing"",""แผน!AV22"")"),50000)</f>
        <v>50000</v>
      </c>
      <c r="J229" s="250">
        <v>0</v>
      </c>
      <c r="K229" s="163">
        <f ca="1">IF(I229&gt;0,J229*100/I229,0)</f>
        <v>0</v>
      </c>
      <c r="L229" s="46"/>
      <c r="M229" s="46"/>
      <c r="N229" s="46"/>
      <c r="O229" s="46"/>
      <c r="P229" s="46"/>
    </row>
    <row r="230" spans="1:16" ht="18.75" x14ac:dyDescent="0.25">
      <c r="A230" s="148"/>
      <c r="B230" s="149"/>
      <c r="C230" s="149"/>
      <c r="D230" s="254" t="s">
        <v>99</v>
      </c>
      <c r="E230" s="155"/>
      <c r="F230" s="155"/>
      <c r="G230" s="153"/>
      <c r="H230" s="251" t="s">
        <v>33</v>
      </c>
      <c r="I230" s="169">
        <f ca="1">IFERROR(__xludf.DUMMYFUNCTION("IMPORTRANGE(""https://docs.google.com/spreadsheets/d/1eHaY18a8A9IcSdp1K8H6x8fbOy06t2VsZHhMHf-1x7Y/edit?usp=sharing"",""แผน!AU22"")"),0)</f>
        <v>0</v>
      </c>
      <c r="J230" s="250">
        <v>0</v>
      </c>
      <c r="K230" s="163">
        <f ca="1">IF(I230&gt;0,J230*100/I230,0)</f>
        <v>0</v>
      </c>
      <c r="L230" s="46"/>
      <c r="M230" s="46"/>
      <c r="N230" s="46"/>
      <c r="O230" s="46"/>
      <c r="P230" s="46"/>
    </row>
    <row r="231" spans="1:16" ht="19.5" hidden="1" x14ac:dyDescent="0.3">
      <c r="A231" s="233"/>
      <c r="B231" s="234"/>
      <c r="C231" s="235" t="s">
        <v>100</v>
      </c>
      <c r="D231" s="236"/>
      <c r="E231" s="236"/>
      <c r="F231" s="236"/>
      <c r="G231" s="237"/>
      <c r="H231" s="238" t="s">
        <v>33</v>
      </c>
      <c r="I231" s="239">
        <f ca="1">I242+I253</f>
        <v>0</v>
      </c>
      <c r="J231" s="239">
        <f>J242+J253</f>
        <v>0</v>
      </c>
      <c r="K231" s="240">
        <f ca="1">IF(I231&gt;0,J231*100/I231,0)</f>
        <v>0</v>
      </c>
      <c r="L231" s="241"/>
      <c r="M231" s="241"/>
      <c r="N231" s="241"/>
      <c r="O231" s="241"/>
      <c r="P231" s="241"/>
    </row>
    <row r="232" spans="1:16" ht="19.5" hidden="1" x14ac:dyDescent="0.3">
      <c r="A232" s="136"/>
      <c r="B232" s="41"/>
      <c r="C232" s="197" t="s">
        <v>16</v>
      </c>
      <c r="D232" s="397" t="s">
        <v>17</v>
      </c>
      <c r="E232" s="41"/>
      <c r="F232" s="41"/>
      <c r="G232" s="43"/>
      <c r="H232" s="243" t="s">
        <v>12</v>
      </c>
      <c r="I232" s="144"/>
      <c r="J232" s="144"/>
      <c r="K232" s="145"/>
      <c r="L232" s="140">
        <f ca="1">L243+L254</f>
        <v>0</v>
      </c>
      <c r="M232" s="46"/>
      <c r="N232" s="140">
        <f>N243+N254</f>
        <v>0</v>
      </c>
      <c r="O232" s="46"/>
      <c r="P232" s="46"/>
    </row>
    <row r="233" spans="1:16" ht="18.75" hidden="1" x14ac:dyDescent="0.25">
      <c r="A233" s="136"/>
      <c r="B233" s="228"/>
      <c r="C233" s="41"/>
      <c r="D233" s="254" t="s">
        <v>80</v>
      </c>
      <c r="E233" s="41"/>
      <c r="F233" s="41"/>
      <c r="G233" s="43"/>
      <c r="H233" s="143" t="s">
        <v>12</v>
      </c>
      <c r="I233" s="144"/>
      <c r="J233" s="144"/>
      <c r="K233" s="145"/>
      <c r="L233" s="47">
        <f ca="1">L244+L255</f>
        <v>0</v>
      </c>
      <c r="M233" s="46"/>
      <c r="N233" s="47">
        <f>N244+N255</f>
        <v>0</v>
      </c>
      <c r="O233" s="46"/>
      <c r="P233" s="46"/>
    </row>
    <row r="234" spans="1:16" ht="18.75" hidden="1" x14ac:dyDescent="0.25">
      <c r="A234" s="227"/>
      <c r="B234" s="228"/>
      <c r="C234" s="228"/>
      <c r="D234" s="254" t="s">
        <v>82</v>
      </c>
      <c r="E234" s="41"/>
      <c r="F234" s="41"/>
      <c r="G234" s="43"/>
      <c r="H234" s="143" t="s">
        <v>12</v>
      </c>
      <c r="I234" s="45"/>
      <c r="J234" s="45"/>
      <c r="K234" s="46"/>
      <c r="L234" s="47">
        <f ca="1">L245+L256</f>
        <v>0</v>
      </c>
      <c r="M234" s="46"/>
      <c r="N234" s="47">
        <f>N245+N256</f>
        <v>0</v>
      </c>
      <c r="O234" s="46"/>
      <c r="P234" s="46"/>
    </row>
    <row r="235" spans="1:16" ht="18.75" hidden="1" x14ac:dyDescent="0.25">
      <c r="A235" s="227"/>
      <c r="B235" s="228"/>
      <c r="C235" s="228"/>
      <c r="D235" s="254" t="s">
        <v>101</v>
      </c>
      <c r="E235" s="41"/>
      <c r="F235" s="41"/>
      <c r="G235" s="43"/>
      <c r="H235" s="143" t="s">
        <v>12</v>
      </c>
      <c r="I235" s="45"/>
      <c r="J235" s="45"/>
      <c r="K235" s="46"/>
      <c r="L235" s="47">
        <f ca="1">L246+L257</f>
        <v>0</v>
      </c>
      <c r="M235" s="46"/>
      <c r="N235" s="47">
        <f>N246+N257</f>
        <v>0</v>
      </c>
      <c r="O235" s="46"/>
      <c r="P235" s="46"/>
    </row>
    <row r="236" spans="1:16" ht="18.75" hidden="1" x14ac:dyDescent="0.25">
      <c r="A236" s="227"/>
      <c r="B236" s="228"/>
      <c r="C236" s="228"/>
      <c r="D236" s="254" t="s">
        <v>102</v>
      </c>
      <c r="E236" s="41"/>
      <c r="F236" s="41"/>
      <c r="G236" s="43"/>
      <c r="H236" s="143" t="s">
        <v>12</v>
      </c>
      <c r="I236" s="45"/>
      <c r="J236" s="45"/>
      <c r="K236" s="46"/>
      <c r="L236" s="47">
        <f ca="1">L247+L258</f>
        <v>0</v>
      </c>
      <c r="M236" s="46"/>
      <c r="N236" s="47">
        <f>N247+N258</f>
        <v>0</v>
      </c>
      <c r="O236" s="46"/>
      <c r="P236" s="46"/>
    </row>
    <row r="237" spans="1:16" ht="19.5" hidden="1" x14ac:dyDescent="0.3">
      <c r="A237" s="148"/>
      <c r="B237" s="149"/>
      <c r="C237" s="252" t="s">
        <v>16</v>
      </c>
      <c r="D237" s="395" t="s">
        <v>36</v>
      </c>
      <c r="E237" s="151"/>
      <c r="F237" s="151"/>
      <c r="G237" s="152"/>
      <c r="H237" s="153"/>
      <c r="I237" s="144"/>
      <c r="J237" s="45"/>
      <c r="K237" s="46"/>
      <c r="L237" s="46"/>
      <c r="M237" s="46"/>
      <c r="N237" s="46"/>
      <c r="O237" s="145"/>
      <c r="P237" s="145"/>
    </row>
    <row r="238" spans="1:16" ht="18.75" hidden="1" x14ac:dyDescent="0.25">
      <c r="A238" s="148"/>
      <c r="B238" s="149"/>
      <c r="C238" s="149"/>
      <c r="D238" s="159" t="s">
        <v>103</v>
      </c>
      <c r="E238" s="155"/>
      <c r="F238" s="155"/>
      <c r="G238" s="153"/>
      <c r="H238" s="251" t="s">
        <v>33</v>
      </c>
      <c r="I238" s="169">
        <f ca="1">I249+I260</f>
        <v>0</v>
      </c>
      <c r="J238" s="169">
        <f>J249+J260</f>
        <v>0</v>
      </c>
      <c r="K238" s="47">
        <f ca="1">IF(I238&gt;0,J238*100/I238,0)</f>
        <v>0</v>
      </c>
      <c r="L238" s="46"/>
      <c r="M238" s="46"/>
      <c r="N238" s="46"/>
      <c r="O238" s="46"/>
      <c r="P238" s="46"/>
    </row>
    <row r="239" spans="1:16" ht="18.75" hidden="1" x14ac:dyDescent="0.25">
      <c r="A239" s="148"/>
      <c r="B239" s="149"/>
      <c r="C239" s="149"/>
      <c r="D239" s="255" t="s">
        <v>41</v>
      </c>
      <c r="E239" s="155"/>
      <c r="F239" s="155"/>
      <c r="G239" s="153"/>
      <c r="H239" s="153"/>
      <c r="I239" s="45"/>
      <c r="J239" s="45"/>
      <c r="K239" s="46"/>
      <c r="L239" s="46"/>
      <c r="M239" s="46"/>
      <c r="N239" s="46"/>
      <c r="O239" s="145"/>
      <c r="P239" s="145"/>
    </row>
    <row r="240" spans="1:16" ht="18.75" hidden="1" x14ac:dyDescent="0.25">
      <c r="A240" s="148"/>
      <c r="B240" s="149"/>
      <c r="C240" s="149"/>
      <c r="D240" s="149"/>
      <c r="E240" s="154" t="s">
        <v>104</v>
      </c>
      <c r="F240" s="155"/>
      <c r="G240" s="153"/>
      <c r="H240" s="251" t="s">
        <v>33</v>
      </c>
      <c r="I240" s="169">
        <f>I251+I262</f>
        <v>0</v>
      </c>
      <c r="J240" s="169">
        <f>J251+J262</f>
        <v>0</v>
      </c>
      <c r="K240" s="47">
        <f>IF(I240&gt;0,J240*100/I240,0)</f>
        <v>0</v>
      </c>
      <c r="L240" s="46"/>
      <c r="M240" s="46"/>
      <c r="N240" s="46"/>
      <c r="O240" s="46"/>
      <c r="P240" s="46"/>
    </row>
    <row r="241" spans="1:16" ht="18.75" hidden="1" x14ac:dyDescent="0.25">
      <c r="A241" s="148"/>
      <c r="B241" s="149"/>
      <c r="C241" s="149"/>
      <c r="D241" s="149"/>
      <c r="E241" s="154" t="s">
        <v>105</v>
      </c>
      <c r="F241" s="155"/>
      <c r="G241" s="153"/>
      <c r="H241" s="251" t="s">
        <v>54</v>
      </c>
      <c r="I241" s="169">
        <f>I252+I263</f>
        <v>0</v>
      </c>
      <c r="J241" s="169">
        <f>J252+J263</f>
        <v>0</v>
      </c>
      <c r="K241" s="47">
        <f>IF(I241&gt;0,J241*100/I241,0)</f>
        <v>0</v>
      </c>
      <c r="L241" s="46"/>
      <c r="M241" s="46"/>
      <c r="N241" s="46"/>
      <c r="O241" s="46"/>
      <c r="P241" s="46"/>
    </row>
    <row r="242" spans="1:16" ht="19.5" hidden="1" x14ac:dyDescent="0.3">
      <c r="A242" s="233"/>
      <c r="B242" s="234"/>
      <c r="C242" s="256" t="s">
        <v>106</v>
      </c>
      <c r="D242" s="236"/>
      <c r="E242" s="236"/>
      <c r="F242" s="236"/>
      <c r="G242" s="237"/>
      <c r="H242" s="257" t="s">
        <v>33</v>
      </c>
      <c r="I242" s="258">
        <f ca="1">I249</f>
        <v>0</v>
      </c>
      <c r="J242" s="258">
        <f>J249</f>
        <v>0</v>
      </c>
      <c r="K242" s="259">
        <f ca="1">IF(I242&gt;0,J242*100/I242,0)</f>
        <v>0</v>
      </c>
      <c r="L242" s="241"/>
      <c r="M242" s="241"/>
      <c r="N242" s="241"/>
      <c r="O242" s="241"/>
      <c r="P242" s="241"/>
    </row>
    <row r="243" spans="1:16" ht="19.5" hidden="1" x14ac:dyDescent="0.3">
      <c r="A243" s="136"/>
      <c r="B243" s="41"/>
      <c r="C243" s="260" t="s">
        <v>16</v>
      </c>
      <c r="D243" s="261" t="s">
        <v>17</v>
      </c>
      <c r="E243" s="41"/>
      <c r="F243" s="41"/>
      <c r="G243" s="43"/>
      <c r="H243" s="262" t="s">
        <v>12</v>
      </c>
      <c r="I243" s="144"/>
      <c r="J243" s="144"/>
      <c r="K243" s="145"/>
      <c r="L243" s="263">
        <f ca="1">L244+L245+L246+L247</f>
        <v>0</v>
      </c>
      <c r="M243" s="46"/>
      <c r="N243" s="263">
        <f>N244+N245+N246+N247</f>
        <v>0</v>
      </c>
      <c r="O243" s="263">
        <f ca="1">IF(L243&gt;0,N243*100/L243,0)</f>
        <v>0</v>
      </c>
      <c r="P243" s="263">
        <f>IF(M243&gt;0,N243*100/M243,0)</f>
        <v>0</v>
      </c>
    </row>
    <row r="244" spans="1:16" ht="18.75" hidden="1" x14ac:dyDescent="0.25">
      <c r="A244" s="136"/>
      <c r="B244" s="228"/>
      <c r="C244" s="41"/>
      <c r="D244" s="279" t="s">
        <v>80</v>
      </c>
      <c r="E244" s="41"/>
      <c r="F244" s="41"/>
      <c r="G244" s="43"/>
      <c r="H244" s="146" t="s">
        <v>12</v>
      </c>
      <c r="I244" s="144"/>
      <c r="J244" s="144"/>
      <c r="K244" s="145"/>
      <c r="L244" s="50">
        <f ca="1">IFERROR(__xludf.DUMMYFUNCTION("IMPORTRANGE(""https://docs.google.com/spreadsheets/d/1eHaY18a8A9IcSdp1K8H6x8fbOy06t2VsZHhMHf-1x7Y/edit?usp=sharing"",""แผน!AX22"")"),0)</f>
        <v>0</v>
      </c>
      <c r="M244" s="46"/>
      <c r="N244" s="264">
        <v>0</v>
      </c>
      <c r="O244" s="46"/>
      <c r="P244" s="46"/>
    </row>
    <row r="245" spans="1:16" ht="18.75" hidden="1" x14ac:dyDescent="0.25">
      <c r="A245" s="227"/>
      <c r="B245" s="228"/>
      <c r="C245" s="228"/>
      <c r="D245" s="279" t="s">
        <v>82</v>
      </c>
      <c r="E245" s="41"/>
      <c r="F245" s="41"/>
      <c r="G245" s="43"/>
      <c r="H245" s="146" t="s">
        <v>12</v>
      </c>
      <c r="I245" s="45"/>
      <c r="J245" s="45"/>
      <c r="K245" s="46"/>
      <c r="L245" s="50">
        <f ca="1">IFERROR(__xludf.DUMMYFUNCTION("IMPORTRANGE(""https://docs.google.com/spreadsheets/d/1eHaY18a8A9IcSdp1K8H6x8fbOy06t2VsZHhMHf-1x7Y/edit?usp=sharing"",""แผน!AY22"")"),0)</f>
        <v>0</v>
      </c>
      <c r="M245" s="46"/>
      <c r="N245" s="264">
        <v>0</v>
      </c>
      <c r="O245" s="46"/>
      <c r="P245" s="46"/>
    </row>
    <row r="246" spans="1:16" ht="18.75" hidden="1" x14ac:dyDescent="0.25">
      <c r="A246" s="227"/>
      <c r="B246" s="228"/>
      <c r="C246" s="228"/>
      <c r="D246" s="279" t="s">
        <v>101</v>
      </c>
      <c r="E246" s="41"/>
      <c r="F246" s="41"/>
      <c r="G246" s="43"/>
      <c r="H246" s="146" t="s">
        <v>12</v>
      </c>
      <c r="I246" s="45"/>
      <c r="J246" s="45"/>
      <c r="K246" s="46"/>
      <c r="L246" s="50">
        <f ca="1">IFERROR(__xludf.DUMMYFUNCTION("IMPORTRANGE(""https://docs.google.com/spreadsheets/d/1eHaY18a8A9IcSdp1K8H6x8fbOy06t2VsZHhMHf-1x7Y/edit?usp=sharing"",""แผน!AZ22"")"),0)</f>
        <v>0</v>
      </c>
      <c r="M246" s="46"/>
      <c r="N246" s="264">
        <v>0</v>
      </c>
      <c r="O246" s="46"/>
      <c r="P246" s="46"/>
    </row>
    <row r="247" spans="1:16" ht="18.75" hidden="1" x14ac:dyDescent="0.25">
      <c r="A247" s="227"/>
      <c r="B247" s="228"/>
      <c r="C247" s="228"/>
      <c r="D247" s="279" t="s">
        <v>102</v>
      </c>
      <c r="E247" s="41"/>
      <c r="F247" s="41"/>
      <c r="G247" s="43"/>
      <c r="H247" s="146" t="s">
        <v>12</v>
      </c>
      <c r="I247" s="45"/>
      <c r="J247" s="45"/>
      <c r="K247" s="46"/>
      <c r="L247" s="50">
        <f ca="1">IFERROR(__xludf.DUMMYFUNCTION("IMPORTRANGE(""https://docs.google.com/spreadsheets/d/1eHaY18a8A9IcSdp1K8H6x8fbOy06t2VsZHhMHf-1x7Y/edit?usp=sharing"",""แผน!BA22"")"),0)</f>
        <v>0</v>
      </c>
      <c r="M247" s="46"/>
      <c r="N247" s="264">
        <v>0</v>
      </c>
      <c r="O247" s="46"/>
      <c r="P247" s="46"/>
    </row>
    <row r="248" spans="1:16" ht="19.5" hidden="1" x14ac:dyDescent="0.3">
      <c r="A248" s="148"/>
      <c r="B248" s="149"/>
      <c r="C248" s="265" t="s">
        <v>16</v>
      </c>
      <c r="D248" s="394" t="s">
        <v>36</v>
      </c>
      <c r="E248" s="151"/>
      <c r="F248" s="151"/>
      <c r="G248" s="152"/>
      <c r="H248" s="153"/>
      <c r="I248" s="144"/>
      <c r="J248" s="45"/>
      <c r="K248" s="46"/>
      <c r="L248" s="46"/>
      <c r="M248" s="46"/>
      <c r="N248" s="46"/>
      <c r="O248" s="145"/>
      <c r="P248" s="145"/>
    </row>
    <row r="249" spans="1:16" ht="18.75" hidden="1" x14ac:dyDescent="0.25">
      <c r="A249" s="148"/>
      <c r="B249" s="149"/>
      <c r="C249" s="149"/>
      <c r="D249" s="267" t="s">
        <v>103</v>
      </c>
      <c r="E249" s="155"/>
      <c r="F249" s="155"/>
      <c r="G249" s="153"/>
      <c r="H249" s="268" t="s">
        <v>33</v>
      </c>
      <c r="I249" s="200">
        <f ca="1">IFERROR(__xludf.DUMMYFUNCTION("IMPORTRANGE(""https://docs.google.com/spreadsheets/d/1eHaY18a8A9IcSdp1K8H6x8fbOy06t2VsZHhMHf-1x7Y/edit?usp=sharing"",""แผน!BG22"")"),0)</f>
        <v>0</v>
      </c>
      <c r="J249" s="201">
        <v>0</v>
      </c>
      <c r="K249" s="50">
        <f ca="1">IF(I249&gt;0,J249*100/I249,0)</f>
        <v>0</v>
      </c>
      <c r="L249" s="46"/>
      <c r="M249" s="46"/>
      <c r="N249" s="46"/>
      <c r="O249" s="46"/>
      <c r="P249" s="46"/>
    </row>
    <row r="250" spans="1:16" ht="18.75" hidden="1" x14ac:dyDescent="0.25">
      <c r="A250" s="148"/>
      <c r="B250" s="149"/>
      <c r="C250" s="149"/>
      <c r="D250" s="269" t="s">
        <v>41</v>
      </c>
      <c r="E250" s="155"/>
      <c r="F250" s="155"/>
      <c r="G250" s="153"/>
      <c r="H250" s="153"/>
      <c r="I250" s="45"/>
      <c r="J250" s="45"/>
      <c r="K250" s="46"/>
      <c r="L250" s="46"/>
      <c r="M250" s="46"/>
      <c r="N250" s="46"/>
      <c r="O250" s="145"/>
      <c r="P250" s="145"/>
    </row>
    <row r="251" spans="1:16" ht="18.75" hidden="1" x14ac:dyDescent="0.25">
      <c r="A251" s="148"/>
      <c r="B251" s="149"/>
      <c r="C251" s="149"/>
      <c r="D251" s="149"/>
      <c r="E251" s="270" t="s">
        <v>104</v>
      </c>
      <c r="F251" s="155"/>
      <c r="G251" s="153"/>
      <c r="H251" s="268" t="s">
        <v>33</v>
      </c>
      <c r="I251" s="200">
        <v>0</v>
      </c>
      <c r="J251" s="201">
        <v>0</v>
      </c>
      <c r="K251" s="50">
        <f>IF(I251&gt;0,J251*100/I251,0)</f>
        <v>0</v>
      </c>
      <c r="L251" s="46"/>
      <c r="M251" s="46"/>
      <c r="N251" s="46"/>
      <c r="O251" s="46"/>
      <c r="P251" s="46"/>
    </row>
    <row r="252" spans="1:16" ht="18.75" hidden="1" x14ac:dyDescent="0.25">
      <c r="A252" s="148"/>
      <c r="B252" s="149"/>
      <c r="C252" s="149"/>
      <c r="D252" s="149"/>
      <c r="E252" s="270" t="s">
        <v>105</v>
      </c>
      <c r="F252" s="155"/>
      <c r="G252" s="153"/>
      <c r="H252" s="268" t="s">
        <v>54</v>
      </c>
      <c r="I252" s="200">
        <v>0</v>
      </c>
      <c r="J252" s="201">
        <v>0</v>
      </c>
      <c r="K252" s="50">
        <f>IF(I252&gt;0,J252*100/I252,0)</f>
        <v>0</v>
      </c>
      <c r="L252" s="46"/>
      <c r="M252" s="46"/>
      <c r="N252" s="46"/>
      <c r="O252" s="46"/>
      <c r="P252" s="46"/>
    </row>
    <row r="253" spans="1:16" ht="19.5" hidden="1" x14ac:dyDescent="0.3">
      <c r="A253" s="233"/>
      <c r="B253" s="234"/>
      <c r="C253" s="256" t="s">
        <v>107</v>
      </c>
      <c r="D253" s="236"/>
      <c r="E253" s="236"/>
      <c r="F253" s="236"/>
      <c r="G253" s="237"/>
      <c r="H253" s="257" t="s">
        <v>33</v>
      </c>
      <c r="I253" s="258">
        <f ca="1">I260</f>
        <v>0</v>
      </c>
      <c r="J253" s="258">
        <f>J260</f>
        <v>0</v>
      </c>
      <c r="K253" s="259">
        <f ca="1">IF(I253&gt;0,J253*100/I253,0)</f>
        <v>0</v>
      </c>
      <c r="L253" s="241"/>
      <c r="M253" s="241"/>
      <c r="N253" s="241"/>
      <c r="O253" s="241"/>
      <c r="P253" s="241"/>
    </row>
    <row r="254" spans="1:16" ht="19.5" hidden="1" x14ac:dyDescent="0.3">
      <c r="A254" s="136"/>
      <c r="B254" s="41"/>
      <c r="C254" s="260" t="s">
        <v>16</v>
      </c>
      <c r="D254" s="399" t="s">
        <v>17</v>
      </c>
      <c r="E254" s="41"/>
      <c r="F254" s="41"/>
      <c r="G254" s="43"/>
      <c r="H254" s="262" t="s">
        <v>12</v>
      </c>
      <c r="I254" s="144"/>
      <c r="J254" s="144"/>
      <c r="K254" s="145"/>
      <c r="L254" s="263">
        <f ca="1">L255+L256+L257+L258</f>
        <v>0</v>
      </c>
      <c r="M254" s="46"/>
      <c r="N254" s="263">
        <f>N255+N256+N257+N258</f>
        <v>0</v>
      </c>
      <c r="O254" s="263">
        <f ca="1">IF(L254&gt;0,N254*100/L254,0)</f>
        <v>0</v>
      </c>
      <c r="P254" s="263">
        <f>IF(M254&gt;0,N254*100/M254,0)</f>
        <v>0</v>
      </c>
    </row>
    <row r="255" spans="1:16" ht="18.75" hidden="1" x14ac:dyDescent="0.25">
      <c r="A255" s="136"/>
      <c r="B255" s="228"/>
      <c r="C255" s="41"/>
      <c r="D255" s="279" t="s">
        <v>80</v>
      </c>
      <c r="E255" s="41"/>
      <c r="F255" s="41"/>
      <c r="G255" s="43"/>
      <c r="H255" s="146" t="s">
        <v>12</v>
      </c>
      <c r="I255" s="144"/>
      <c r="J255" s="144"/>
      <c r="K255" s="145"/>
      <c r="L255" s="50">
        <f ca="1">IFERROR(__xludf.DUMMYFUNCTION("IMPORTRANGE(""https://docs.google.com/spreadsheets/d/1eHaY18a8A9IcSdp1K8H6x8fbOy06t2VsZHhMHf-1x7Y/edit?usp=sharing"",""แผน!BB22"")"),0)</f>
        <v>0</v>
      </c>
      <c r="M255" s="46"/>
      <c r="N255" s="264">
        <v>0</v>
      </c>
      <c r="O255" s="46"/>
      <c r="P255" s="46"/>
    </row>
    <row r="256" spans="1:16" ht="18.75" hidden="1" x14ac:dyDescent="0.25">
      <c r="A256" s="227"/>
      <c r="B256" s="228"/>
      <c r="C256" s="228"/>
      <c r="D256" s="279" t="s">
        <v>82</v>
      </c>
      <c r="E256" s="41"/>
      <c r="F256" s="41"/>
      <c r="G256" s="43"/>
      <c r="H256" s="146" t="s">
        <v>12</v>
      </c>
      <c r="I256" s="45"/>
      <c r="J256" s="45"/>
      <c r="K256" s="46"/>
      <c r="L256" s="50">
        <f ca="1">IFERROR(__xludf.DUMMYFUNCTION("IMPORTRANGE(""https://docs.google.com/spreadsheets/d/1eHaY18a8A9IcSdp1K8H6x8fbOy06t2VsZHhMHf-1x7Y/edit?usp=sharing"",""แผน!BC22"")"),0)</f>
        <v>0</v>
      </c>
      <c r="M256" s="46"/>
      <c r="N256" s="264">
        <v>0</v>
      </c>
      <c r="O256" s="46"/>
      <c r="P256" s="46"/>
    </row>
    <row r="257" spans="1:16" ht="18.75" hidden="1" x14ac:dyDescent="0.25">
      <c r="A257" s="227"/>
      <c r="B257" s="228"/>
      <c r="C257" s="228"/>
      <c r="D257" s="279" t="s">
        <v>101</v>
      </c>
      <c r="E257" s="41"/>
      <c r="F257" s="41"/>
      <c r="G257" s="43"/>
      <c r="H257" s="146" t="s">
        <v>12</v>
      </c>
      <c r="I257" s="45"/>
      <c r="J257" s="45"/>
      <c r="K257" s="46"/>
      <c r="L257" s="50">
        <f ca="1">IFERROR(__xludf.DUMMYFUNCTION("IMPORTRANGE(""https://docs.google.com/spreadsheets/d/1eHaY18a8A9IcSdp1K8H6x8fbOy06t2VsZHhMHf-1x7Y/edit?usp=sharing"",""แผน!BD22"")"),0)</f>
        <v>0</v>
      </c>
      <c r="M257" s="46"/>
      <c r="N257" s="264">
        <v>0</v>
      </c>
      <c r="O257" s="46"/>
      <c r="P257" s="46"/>
    </row>
    <row r="258" spans="1:16" ht="18.75" hidden="1" x14ac:dyDescent="0.25">
      <c r="A258" s="227"/>
      <c r="B258" s="228"/>
      <c r="C258" s="228"/>
      <c r="D258" s="279" t="s">
        <v>102</v>
      </c>
      <c r="E258" s="41"/>
      <c r="F258" s="41"/>
      <c r="G258" s="43"/>
      <c r="H258" s="146" t="s">
        <v>12</v>
      </c>
      <c r="I258" s="45"/>
      <c r="J258" s="45"/>
      <c r="K258" s="46"/>
      <c r="L258" s="50">
        <f ca="1">IFERROR(__xludf.DUMMYFUNCTION("IMPORTRANGE(""https://docs.google.com/spreadsheets/d/1eHaY18a8A9IcSdp1K8H6x8fbOy06t2VsZHhMHf-1x7Y/edit?usp=sharing"",""แผน!BE22"")"),0)</f>
        <v>0</v>
      </c>
      <c r="M258" s="46"/>
      <c r="N258" s="264">
        <v>0</v>
      </c>
      <c r="O258" s="46"/>
      <c r="P258" s="46"/>
    </row>
    <row r="259" spans="1:16" ht="19.5" hidden="1" x14ac:dyDescent="0.3">
      <c r="A259" s="148"/>
      <c r="B259" s="149"/>
      <c r="C259" s="265" t="s">
        <v>16</v>
      </c>
      <c r="D259" s="394" t="s">
        <v>36</v>
      </c>
      <c r="E259" s="151"/>
      <c r="F259" s="151"/>
      <c r="G259" s="152"/>
      <c r="H259" s="153"/>
      <c r="I259" s="144"/>
      <c r="J259" s="45"/>
      <c r="K259" s="46"/>
      <c r="L259" s="46"/>
      <c r="M259" s="46"/>
      <c r="N259" s="46"/>
      <c r="O259" s="145"/>
      <c r="P259" s="145"/>
    </row>
    <row r="260" spans="1:16" ht="18.75" hidden="1" x14ac:dyDescent="0.25">
      <c r="A260" s="148"/>
      <c r="B260" s="149"/>
      <c r="C260" s="149"/>
      <c r="D260" s="267" t="s">
        <v>103</v>
      </c>
      <c r="E260" s="155"/>
      <c r="F260" s="155"/>
      <c r="G260" s="153"/>
      <c r="H260" s="268" t="s">
        <v>33</v>
      </c>
      <c r="I260" s="200">
        <f ca="1">IFERROR(__xludf.DUMMYFUNCTION("IMPORTRANGE(""https://docs.google.com/spreadsheets/d/1eHaY18a8A9IcSdp1K8H6x8fbOy06t2VsZHhMHf-1x7Y/edit?usp=sharing"",""แผน!BH22"")"),0)</f>
        <v>0</v>
      </c>
      <c r="J260" s="201">
        <v>0</v>
      </c>
      <c r="K260" s="50">
        <f ca="1">IF(I260&gt;0,J260*100/I260,0)</f>
        <v>0</v>
      </c>
      <c r="L260" s="46"/>
      <c r="M260" s="46"/>
      <c r="N260" s="46"/>
      <c r="O260" s="46"/>
      <c r="P260" s="46"/>
    </row>
    <row r="261" spans="1:16" ht="18.75" hidden="1" x14ac:dyDescent="0.25">
      <c r="A261" s="148"/>
      <c r="B261" s="149"/>
      <c r="C261" s="149"/>
      <c r="D261" s="269" t="s">
        <v>41</v>
      </c>
      <c r="E261" s="155"/>
      <c r="F261" s="155"/>
      <c r="G261" s="153"/>
      <c r="H261" s="153"/>
      <c r="I261" s="45"/>
      <c r="J261" s="45"/>
      <c r="K261" s="46"/>
      <c r="L261" s="46"/>
      <c r="M261" s="46"/>
      <c r="N261" s="46"/>
      <c r="O261" s="145"/>
      <c r="P261" s="145"/>
    </row>
    <row r="262" spans="1:16" ht="18.75" hidden="1" x14ac:dyDescent="0.25">
      <c r="A262" s="148"/>
      <c r="B262" s="149"/>
      <c r="C262" s="149"/>
      <c r="D262" s="149"/>
      <c r="E262" s="270" t="s">
        <v>104</v>
      </c>
      <c r="F262" s="155"/>
      <c r="G262" s="153"/>
      <c r="H262" s="268" t="s">
        <v>33</v>
      </c>
      <c r="I262" s="45"/>
      <c r="J262" s="201">
        <v>0</v>
      </c>
      <c r="K262" s="50">
        <f>IF(I262&gt;0,J262*100/I262,0)</f>
        <v>0</v>
      </c>
      <c r="L262" s="46"/>
      <c r="M262" s="46"/>
      <c r="N262" s="46"/>
      <c r="O262" s="46"/>
      <c r="P262" s="46"/>
    </row>
    <row r="263" spans="1:16" ht="18.75" hidden="1" x14ac:dyDescent="0.25">
      <c r="A263" s="148"/>
      <c r="B263" s="149"/>
      <c r="C263" s="149"/>
      <c r="D263" s="149"/>
      <c r="E263" s="270" t="s">
        <v>105</v>
      </c>
      <c r="F263" s="155"/>
      <c r="G263" s="153"/>
      <c r="H263" s="268" t="s">
        <v>54</v>
      </c>
      <c r="I263" s="45"/>
      <c r="J263" s="201">
        <v>0</v>
      </c>
      <c r="K263" s="50">
        <f>IF(I263&gt;0,J263*100/I263,0)</f>
        <v>0</v>
      </c>
      <c r="L263" s="46"/>
      <c r="M263" s="46"/>
      <c r="N263" s="46"/>
      <c r="O263" s="46"/>
      <c r="P263" s="46"/>
    </row>
    <row r="264" spans="1:16" ht="19.5" hidden="1" x14ac:dyDescent="0.3">
      <c r="A264" s="272" t="s">
        <v>108</v>
      </c>
      <c r="B264" s="215"/>
      <c r="C264" s="215"/>
      <c r="D264" s="216"/>
      <c r="E264" s="216"/>
      <c r="F264" s="216"/>
      <c r="G264" s="217"/>
      <c r="H264" s="217"/>
      <c r="I264" s="218"/>
      <c r="J264" s="218"/>
      <c r="K264" s="219"/>
      <c r="L264" s="219"/>
      <c r="M264" s="219"/>
      <c r="N264" s="219"/>
      <c r="O264" s="219"/>
      <c r="P264" s="219"/>
    </row>
    <row r="265" spans="1:16" ht="19.5" hidden="1" x14ac:dyDescent="0.3">
      <c r="A265" s="220"/>
      <c r="B265" s="273" t="s">
        <v>109</v>
      </c>
      <c r="C265" s="222"/>
      <c r="D265" s="151"/>
      <c r="E265" s="151"/>
      <c r="F265" s="151"/>
      <c r="G265" s="152"/>
      <c r="H265" s="274" t="s">
        <v>33</v>
      </c>
      <c r="I265" s="275">
        <f>I276</f>
        <v>0</v>
      </c>
      <c r="J265" s="275">
        <f>J276</f>
        <v>0</v>
      </c>
      <c r="K265" s="276">
        <f>IF(I265&gt;0,J265*100/I265,0)</f>
        <v>0</v>
      </c>
      <c r="L265" s="226"/>
      <c r="M265" s="226"/>
      <c r="N265" s="226"/>
      <c r="O265" s="226"/>
      <c r="P265" s="226"/>
    </row>
    <row r="266" spans="1:16" ht="19.5" hidden="1" x14ac:dyDescent="0.3">
      <c r="A266" s="136"/>
      <c r="B266" s="41"/>
      <c r="C266" s="260" t="s">
        <v>16</v>
      </c>
      <c r="D266" s="261" t="s">
        <v>17</v>
      </c>
      <c r="E266" s="41"/>
      <c r="F266" s="41"/>
      <c r="G266" s="43"/>
      <c r="H266" s="277" t="s">
        <v>12</v>
      </c>
      <c r="I266" s="45"/>
      <c r="J266" s="45"/>
      <c r="K266" s="46"/>
      <c r="L266" s="263">
        <f ca="1">L267+L268</f>
        <v>0</v>
      </c>
      <c r="M266" s="263">
        <f ca="1">M267+M268</f>
        <v>0</v>
      </c>
      <c r="N266" s="263">
        <f ca="1">N267+N268</f>
        <v>0</v>
      </c>
      <c r="O266" s="263">
        <f ca="1">IF(L266&gt;0,N266*100/L266,0)</f>
        <v>0</v>
      </c>
      <c r="P266" s="263">
        <f ca="1">IF(M266&gt;0,N266*100/M266,0)</f>
        <v>0</v>
      </c>
    </row>
    <row r="267" spans="1:16" ht="18.75" hidden="1" x14ac:dyDescent="0.25">
      <c r="A267" s="136"/>
      <c r="B267" s="41"/>
      <c r="C267" s="41"/>
      <c r="D267" s="41"/>
      <c r="E267" s="279" t="s">
        <v>18</v>
      </c>
      <c r="F267" s="41"/>
      <c r="G267" s="43"/>
      <c r="H267" s="141" t="s">
        <v>12</v>
      </c>
      <c r="I267" s="45"/>
      <c r="J267" s="45"/>
      <c r="K267" s="46"/>
      <c r="L267" s="50">
        <f>L270+L273</f>
        <v>0</v>
      </c>
      <c r="M267" s="50">
        <f>M270+M273</f>
        <v>0</v>
      </c>
      <c r="N267" s="50">
        <f>N270+N273</f>
        <v>0</v>
      </c>
      <c r="O267" s="50">
        <f>IF(L267&gt;0,N267*100/L267,0)</f>
        <v>0</v>
      </c>
      <c r="P267" s="50">
        <f>IF(M267&gt;0,N267*100/M267,0)</f>
        <v>0</v>
      </c>
    </row>
    <row r="268" spans="1:16" ht="18.75" hidden="1" x14ac:dyDescent="0.25">
      <c r="A268" s="136"/>
      <c r="B268" s="41"/>
      <c r="C268" s="41"/>
      <c r="D268" s="41"/>
      <c r="E268" s="279" t="s">
        <v>19</v>
      </c>
      <c r="F268" s="41"/>
      <c r="G268" s="43"/>
      <c r="H268" s="141" t="s">
        <v>12</v>
      </c>
      <c r="I268" s="45"/>
      <c r="J268" s="45"/>
      <c r="K268" s="46"/>
      <c r="L268" s="50">
        <f ca="1">L271+L274</f>
        <v>0</v>
      </c>
      <c r="M268" s="50">
        <f ca="1">M271+M274</f>
        <v>0</v>
      </c>
      <c r="N268" s="50">
        <f ca="1">N271+N274</f>
        <v>0</v>
      </c>
      <c r="O268" s="50">
        <f ca="1">IF(L268&gt;0,N268*100/L268,0)</f>
        <v>0</v>
      </c>
      <c r="P268" s="50">
        <f ca="1">IF(M268&gt;0,N268*100/M268,0)</f>
        <v>0</v>
      </c>
    </row>
    <row r="269" spans="1:16" ht="18.75" hidden="1" x14ac:dyDescent="0.25">
      <c r="A269" s="136"/>
      <c r="B269" s="41"/>
      <c r="C269" s="41"/>
      <c r="D269" s="278" t="s">
        <v>20</v>
      </c>
      <c r="E269" s="41"/>
      <c r="F269" s="41"/>
      <c r="G269" s="43"/>
      <c r="H269" s="146" t="s">
        <v>12</v>
      </c>
      <c r="I269" s="144"/>
      <c r="J269" s="144"/>
      <c r="K269" s="145"/>
      <c r="L269" s="50">
        <f ca="1">L270+L271</f>
        <v>0</v>
      </c>
      <c r="M269" s="50">
        <f ca="1">M270+M271</f>
        <v>0</v>
      </c>
      <c r="N269" s="50">
        <f ca="1">N270+N271</f>
        <v>0</v>
      </c>
      <c r="O269" s="50">
        <f ca="1">IF(L269&gt;0,N269*100/L269,0)</f>
        <v>0</v>
      </c>
      <c r="P269" s="50">
        <f ca="1">IF(M269&gt;0,N269*100/M269,0)</f>
        <v>0</v>
      </c>
    </row>
    <row r="270" spans="1:16" ht="18.75" hidden="1" x14ac:dyDescent="0.25">
      <c r="A270" s="136"/>
      <c r="B270" s="41"/>
      <c r="C270" s="41"/>
      <c r="D270" s="41"/>
      <c r="E270" s="279" t="s">
        <v>34</v>
      </c>
      <c r="F270" s="41"/>
      <c r="G270" s="43"/>
      <c r="H270" s="146" t="s">
        <v>12</v>
      </c>
      <c r="I270" s="144"/>
      <c r="J270" s="144"/>
      <c r="K270" s="145"/>
      <c r="L270" s="50">
        <v>0</v>
      </c>
      <c r="M270" s="50">
        <v>0</v>
      </c>
      <c r="N270" s="50">
        <v>0</v>
      </c>
      <c r="O270" s="50">
        <f>IF(L270&gt;0,N270*100/L270,0)</f>
        <v>0</v>
      </c>
      <c r="P270" s="50">
        <f>IF(M270&gt;0,N270*100/M270,0)</f>
        <v>0</v>
      </c>
    </row>
    <row r="271" spans="1:16" ht="18.75" hidden="1" x14ac:dyDescent="0.25">
      <c r="A271" s="136"/>
      <c r="B271" s="41"/>
      <c r="C271" s="41"/>
      <c r="D271" s="41"/>
      <c r="E271" s="279" t="s">
        <v>35</v>
      </c>
      <c r="F271" s="41"/>
      <c r="G271" s="43"/>
      <c r="H271" s="146" t="s">
        <v>12</v>
      </c>
      <c r="I271" s="144"/>
      <c r="J271" s="144"/>
      <c r="K271" s="145"/>
      <c r="L271" s="50">
        <f ca="1">IFERROR(__xludf.DUMMYFUNCTION("IMPORTRANGE(""https://docs.google.com/spreadsheets/d/1-uDff_7J0KD5mKrp0Vvzr7lt3OU09vwQwhkpOPPYv2Y/edit?usp=sharing"",""งบพรบ!DE22"")"),0)</f>
        <v>0</v>
      </c>
      <c r="M271" s="50">
        <f ca="1">IFERROR(__xludf.DUMMYFUNCTION("IMPORTRANGE(""https://docs.google.com/spreadsheets/d/1-uDff_7J0KD5mKrp0Vvzr7lt3OU09vwQwhkpOPPYv2Y/edit?usp=sharing"",""งบพรบ!DJ22"")"),0)</f>
        <v>0</v>
      </c>
      <c r="N271" s="50">
        <f ca="1">IFERROR(__xludf.DUMMYFUNCTION("IMPORTRANGE(""https://docs.google.com/spreadsheets/d/1-uDff_7J0KD5mKrp0Vvzr7lt3OU09vwQwhkpOPPYv2Y/edit?usp=sharing"",""งบพรบ!DL22"")"),0)</f>
        <v>0</v>
      </c>
      <c r="O271" s="50">
        <f ca="1">IF(L271&gt;0,N271*100/L271,0)</f>
        <v>0</v>
      </c>
      <c r="P271" s="50">
        <f ca="1">IF(M271&gt;0,N271*100/M271,0)</f>
        <v>0</v>
      </c>
    </row>
    <row r="272" spans="1:16" ht="18.75" hidden="1" x14ac:dyDescent="0.25">
      <c r="A272" s="136"/>
      <c r="B272" s="41"/>
      <c r="C272" s="41"/>
      <c r="D272" s="278" t="s">
        <v>21</v>
      </c>
      <c r="E272" s="41"/>
      <c r="F272" s="41"/>
      <c r="G272" s="43"/>
      <c r="H272" s="199" t="s">
        <v>12</v>
      </c>
      <c r="I272" s="144"/>
      <c r="J272" s="144"/>
      <c r="K272" s="145"/>
      <c r="L272" s="50">
        <f ca="1">L273+L274</f>
        <v>0</v>
      </c>
      <c r="M272" s="50">
        <f ca="1">M273+M274</f>
        <v>0</v>
      </c>
      <c r="N272" s="50">
        <f ca="1">N273+N274</f>
        <v>0</v>
      </c>
      <c r="O272" s="50">
        <f ca="1">IF(L272&gt;0,N272*100/L272,0)</f>
        <v>0</v>
      </c>
      <c r="P272" s="50">
        <f ca="1">IF(M272&gt;0,N272*100/M272,0)</f>
        <v>0</v>
      </c>
    </row>
    <row r="273" spans="1:16" ht="18.75" hidden="1" x14ac:dyDescent="0.25">
      <c r="A273" s="136"/>
      <c r="B273" s="41"/>
      <c r="C273" s="41"/>
      <c r="D273" s="41"/>
      <c r="E273" s="279" t="s">
        <v>18</v>
      </c>
      <c r="F273" s="41"/>
      <c r="G273" s="43"/>
      <c r="H273" s="146" t="s">
        <v>12</v>
      </c>
      <c r="I273" s="144"/>
      <c r="J273" s="144"/>
      <c r="K273" s="145"/>
      <c r="L273" s="50">
        <v>0</v>
      </c>
      <c r="M273" s="50">
        <v>0</v>
      </c>
      <c r="N273" s="50">
        <v>0</v>
      </c>
      <c r="O273" s="50">
        <f>IF(L273&gt;0,N273*100/L273,0)</f>
        <v>0</v>
      </c>
      <c r="P273" s="50">
        <f>IF(M273&gt;0,N273*100/M273,0)</f>
        <v>0</v>
      </c>
    </row>
    <row r="274" spans="1:16" ht="18.75" hidden="1" x14ac:dyDescent="0.25">
      <c r="A274" s="136"/>
      <c r="B274" s="41"/>
      <c r="C274" s="41"/>
      <c r="D274" s="41"/>
      <c r="E274" s="279" t="s">
        <v>19</v>
      </c>
      <c r="F274" s="41"/>
      <c r="G274" s="43"/>
      <c r="H274" s="199" t="s">
        <v>12</v>
      </c>
      <c r="I274" s="144"/>
      <c r="J274" s="144"/>
      <c r="K274" s="145"/>
      <c r="L274" s="50">
        <f ca="1">IFERROR(__xludf.DUMMYFUNCTION("IMPORTRANGE(""https://docs.google.com/spreadsheets/d/1-uDff_7J0KD5mKrp0Vvzr7lt3OU09vwQwhkpOPPYv2Y/edit?usp=sharing"",""งบพรบ!DH22"")"),0)</f>
        <v>0</v>
      </c>
      <c r="M274" s="50">
        <f ca="1">IFERROR(__xludf.DUMMYFUNCTION("IMPORTRANGE(""https://docs.google.com/spreadsheets/d/1-uDff_7J0KD5mKrp0Vvzr7lt3OU09vwQwhkpOPPYv2Y/edit?usp=sharing"",""งบพรบ!DK22"")"),0)</f>
        <v>0</v>
      </c>
      <c r="N274" s="50">
        <f ca="1">IFERROR(__xludf.DUMMYFUNCTION("IMPORTRANGE(""https://docs.google.com/spreadsheets/d/1-uDff_7J0KD5mKrp0Vvzr7lt3OU09vwQwhkpOPPYv2Y/edit?usp=sharing"",""งบพรบ!DM22"")"),0)</f>
        <v>0</v>
      </c>
      <c r="O274" s="50">
        <f ca="1">IF(L274&gt;0,N274*100/L274,0)</f>
        <v>0</v>
      </c>
      <c r="P274" s="50">
        <f ca="1">IF(M274&gt;0,N274*100/M274,0)</f>
        <v>0</v>
      </c>
    </row>
    <row r="275" spans="1:16" ht="19.5" hidden="1" x14ac:dyDescent="0.3">
      <c r="A275" s="148"/>
      <c r="B275" s="149"/>
      <c r="C275" s="279" t="s">
        <v>16</v>
      </c>
      <c r="D275" s="394" t="s">
        <v>36</v>
      </c>
      <c r="E275" s="151"/>
      <c r="F275" s="151"/>
      <c r="G275" s="152"/>
      <c r="H275" s="153"/>
      <c r="I275" s="144"/>
      <c r="J275" s="144"/>
      <c r="K275" s="145"/>
      <c r="L275" s="145"/>
      <c r="M275" s="145"/>
      <c r="N275" s="145"/>
      <c r="O275" s="145"/>
      <c r="P275" s="145"/>
    </row>
    <row r="276" spans="1:16" ht="12.75" hidden="1" x14ac:dyDescent="0.2">
      <c r="A276" s="165"/>
      <c r="B276" s="166"/>
      <c r="C276" s="166"/>
      <c r="D276" s="16"/>
      <c r="E276" s="16"/>
      <c r="F276" s="16"/>
      <c r="G276" s="17"/>
      <c r="H276" s="17"/>
      <c r="I276" s="18"/>
      <c r="J276" s="18"/>
      <c r="K276" s="19"/>
      <c r="L276" s="19"/>
      <c r="M276" s="19"/>
      <c r="N276" s="19"/>
      <c r="O276" s="19"/>
      <c r="P276" s="19"/>
    </row>
    <row r="277" spans="1:16" ht="18.75" hidden="1" x14ac:dyDescent="0.25">
      <c r="A277" s="280"/>
      <c r="B277" s="281"/>
      <c r="C277" s="281"/>
      <c r="D277" s="282" t="s">
        <v>110</v>
      </c>
      <c r="E277" s="283"/>
      <c r="F277" s="283"/>
      <c r="G277" s="284"/>
      <c r="H277" s="285" t="s">
        <v>33</v>
      </c>
      <c r="I277" s="205">
        <v>0</v>
      </c>
      <c r="J277" s="205">
        <v>0</v>
      </c>
      <c r="K277" s="286">
        <v>0</v>
      </c>
      <c r="L277" s="287"/>
      <c r="M277" s="287"/>
      <c r="N277" s="287"/>
      <c r="O277" s="287"/>
      <c r="P277" s="287"/>
    </row>
    <row r="278" spans="1:16" ht="19.5" hidden="1" x14ac:dyDescent="0.3">
      <c r="A278" s="288" t="s">
        <v>111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</row>
    <row r="279" spans="1:16" ht="19.5" x14ac:dyDescent="0.3">
      <c r="A279" s="294" t="s">
        <v>112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299"/>
      <c r="M279" s="299"/>
      <c r="N279" s="299"/>
      <c r="O279" s="299"/>
      <c r="P279" s="299"/>
    </row>
    <row r="280" spans="1:16" ht="19.5" x14ac:dyDescent="0.3">
      <c r="A280" s="300"/>
      <c r="B280" s="301" t="s">
        <v>113</v>
      </c>
      <c r="C280" s="302"/>
      <c r="D280" s="303"/>
      <c r="E280" s="302"/>
      <c r="F280" s="302"/>
      <c r="G280" s="304"/>
      <c r="H280" s="305" t="s">
        <v>33</v>
      </c>
      <c r="I280" s="306">
        <f ca="1">I293</f>
        <v>10</v>
      </c>
      <c r="J280" s="306">
        <f>J293</f>
        <v>0</v>
      </c>
      <c r="K280" s="307">
        <f ca="1">IF(I280&gt;0,J280*100/I280,0)</f>
        <v>0</v>
      </c>
      <c r="L280" s="308"/>
      <c r="M280" s="308"/>
      <c r="N280" s="308"/>
      <c r="O280" s="308"/>
      <c r="P280" s="308"/>
    </row>
    <row r="281" spans="1:16" ht="19.5" x14ac:dyDescent="0.3">
      <c r="A281" s="300"/>
      <c r="B281" s="302"/>
      <c r="C281" s="302"/>
      <c r="D281" s="303"/>
      <c r="E281" s="302"/>
      <c r="F281" s="302"/>
      <c r="G281" s="304"/>
      <c r="H281" s="305" t="s">
        <v>44</v>
      </c>
      <c r="I281" s="306">
        <f ca="1">I292</f>
        <v>100</v>
      </c>
      <c r="J281" s="306">
        <f>J292</f>
        <v>0</v>
      </c>
      <c r="K281" s="307">
        <f ca="1">IF(I281&gt;0,J281*100/I281,0)</f>
        <v>0</v>
      </c>
      <c r="L281" s="308"/>
      <c r="M281" s="308"/>
      <c r="N281" s="308"/>
      <c r="O281" s="308"/>
      <c r="P281" s="308"/>
    </row>
    <row r="282" spans="1:16" ht="19.5" x14ac:dyDescent="0.3">
      <c r="A282" s="136"/>
      <c r="B282" s="41"/>
      <c r="C282" s="197" t="s">
        <v>16</v>
      </c>
      <c r="D282" s="397" t="s">
        <v>17</v>
      </c>
      <c r="E282" s="41"/>
      <c r="F282" s="41"/>
      <c r="G282" s="43"/>
      <c r="H282" s="139" t="s">
        <v>12</v>
      </c>
      <c r="I282" s="45"/>
      <c r="J282" s="45"/>
      <c r="K282" s="46"/>
      <c r="L282" s="140">
        <f ca="1">L283+L284</f>
        <v>140620</v>
      </c>
      <c r="M282" s="140">
        <f ca="1">M283+M284</f>
        <v>104980</v>
      </c>
      <c r="N282" s="140">
        <f ca="1">N283+N284</f>
        <v>0</v>
      </c>
      <c r="O282" s="140">
        <f ca="1">IF(L282&gt;0,N282*100/L282,0)</f>
        <v>0</v>
      </c>
      <c r="P282" s="140">
        <f ca="1">IF(M282&gt;0,N282*100/M282,0)</f>
        <v>0</v>
      </c>
    </row>
    <row r="283" spans="1:16" ht="18.75" hidden="1" x14ac:dyDescent="0.25">
      <c r="A283" s="136"/>
      <c r="B283" s="41"/>
      <c r="C283" s="41"/>
      <c r="D283" s="41"/>
      <c r="E283" s="279" t="s">
        <v>18</v>
      </c>
      <c r="F283" s="41"/>
      <c r="G283" s="43"/>
      <c r="H283" s="141" t="s">
        <v>12</v>
      </c>
      <c r="I283" s="45"/>
      <c r="J283" s="45"/>
      <c r="K283" s="46"/>
      <c r="L283" s="50">
        <f>L286+L289</f>
        <v>0</v>
      </c>
      <c r="M283" s="50">
        <f>M286+M289</f>
        <v>0</v>
      </c>
      <c r="N283" s="50">
        <f>N286+N289</f>
        <v>0</v>
      </c>
      <c r="O283" s="50">
        <f>IF(L283&gt;0,N283*100/L283,0)</f>
        <v>0</v>
      </c>
      <c r="P283" s="50">
        <f>IF(M283&gt;0,N283*100/M283,0)</f>
        <v>0</v>
      </c>
    </row>
    <row r="284" spans="1:16" ht="18.75" x14ac:dyDescent="0.25">
      <c r="A284" s="136"/>
      <c r="B284" s="41"/>
      <c r="C284" s="41"/>
      <c r="D284" s="41"/>
      <c r="E284" s="254" t="s">
        <v>19</v>
      </c>
      <c r="F284" s="41"/>
      <c r="G284" s="43"/>
      <c r="H284" s="142" t="s">
        <v>12</v>
      </c>
      <c r="I284" s="45"/>
      <c r="J284" s="45"/>
      <c r="K284" s="46"/>
      <c r="L284" s="47">
        <f ca="1">L287+L290</f>
        <v>140620</v>
      </c>
      <c r="M284" s="47">
        <f ca="1">M287+M290</f>
        <v>104980</v>
      </c>
      <c r="N284" s="47">
        <f ca="1">N287+N290</f>
        <v>0</v>
      </c>
      <c r="O284" s="47">
        <f ca="1">IF(L284&gt;0,N284*100/L284,0)</f>
        <v>0</v>
      </c>
      <c r="P284" s="47">
        <f ca="1">IF(M284&gt;0,N284*100/M284,0)</f>
        <v>0</v>
      </c>
    </row>
    <row r="285" spans="1:16" ht="18.75" x14ac:dyDescent="0.25">
      <c r="A285" s="136"/>
      <c r="B285" s="41"/>
      <c r="C285" s="41"/>
      <c r="D285" s="42" t="s">
        <v>20</v>
      </c>
      <c r="E285" s="41"/>
      <c r="F285" s="41"/>
      <c r="G285" s="43"/>
      <c r="H285" s="143" t="s">
        <v>12</v>
      </c>
      <c r="I285" s="144"/>
      <c r="J285" s="144"/>
      <c r="K285" s="145"/>
      <c r="L285" s="47">
        <f ca="1">L286+L287</f>
        <v>140620</v>
      </c>
      <c r="M285" s="47">
        <f ca="1">M286+M287</f>
        <v>104980</v>
      </c>
      <c r="N285" s="47">
        <f ca="1">N286+N287</f>
        <v>0</v>
      </c>
      <c r="O285" s="47">
        <f ca="1">IF(L285&gt;0,N285*100/L285,0)</f>
        <v>0</v>
      </c>
      <c r="P285" s="47">
        <f ca="1">IF(M285&gt;0,N285*100/M285,0)</f>
        <v>0</v>
      </c>
    </row>
    <row r="286" spans="1:16" ht="18.75" hidden="1" x14ac:dyDescent="0.25">
      <c r="A286" s="136"/>
      <c r="B286" s="41"/>
      <c r="C286" s="41"/>
      <c r="D286" s="41"/>
      <c r="E286" s="279" t="s">
        <v>34</v>
      </c>
      <c r="F286" s="41"/>
      <c r="G286" s="43"/>
      <c r="H286" s="146" t="s">
        <v>12</v>
      </c>
      <c r="I286" s="144"/>
      <c r="J286" s="144"/>
      <c r="K286" s="145"/>
      <c r="L286" s="50">
        <v>0</v>
      </c>
      <c r="M286" s="50">
        <v>0</v>
      </c>
      <c r="N286" s="50">
        <v>0</v>
      </c>
      <c r="O286" s="50">
        <f>IF(L286&gt;0,N286*100/L286,0)</f>
        <v>0</v>
      </c>
      <c r="P286" s="50">
        <f>IF(M286&gt;0,N286*100/M286,0)</f>
        <v>0</v>
      </c>
    </row>
    <row r="287" spans="1:16" ht="18.75" x14ac:dyDescent="0.25">
      <c r="A287" s="136"/>
      <c r="B287" s="41"/>
      <c r="C287" s="41"/>
      <c r="D287" s="41"/>
      <c r="E287" s="254" t="s">
        <v>35</v>
      </c>
      <c r="F287" s="41"/>
      <c r="G287" s="43"/>
      <c r="H287" s="143" t="s">
        <v>12</v>
      </c>
      <c r="I287" s="144"/>
      <c r="J287" s="144"/>
      <c r="K287" s="145"/>
      <c r="L287" s="47">
        <f ca="1">IFERROR(__xludf.DUMMYFUNCTION("IMPORTRANGE(""https://docs.google.com/spreadsheets/d/1-uDff_7J0KD5mKrp0Vvzr7lt3OU09vwQwhkpOPPYv2Y/edit?usp=sharing"",""งบพรบ!DO22"")"),140620)</f>
        <v>140620</v>
      </c>
      <c r="M287" s="47">
        <f ca="1">IFERROR(__xludf.DUMMYFUNCTION("IMPORTRANGE(""https://docs.google.com/spreadsheets/d/1-uDff_7J0KD5mKrp0Vvzr7lt3OU09vwQwhkpOPPYv2Y/edit?usp=sharing"",""งบพรบ!DT22"")"),104980)</f>
        <v>104980</v>
      </c>
      <c r="N287" s="47">
        <f ca="1">IFERROR(__xludf.DUMMYFUNCTION("IMPORTRANGE(""https://docs.google.com/spreadsheets/d/1-uDff_7J0KD5mKrp0Vvzr7lt3OU09vwQwhkpOPPYv2Y/edit?usp=sharing"",""งบพรบ!DV22"")"),0)</f>
        <v>0</v>
      </c>
      <c r="O287" s="47">
        <f ca="1">IF(L287&gt;0,N287*100/L287,0)</f>
        <v>0</v>
      </c>
      <c r="P287" s="47">
        <f ca="1">IF(M287&gt;0,N287*100/M287,0)</f>
        <v>0</v>
      </c>
    </row>
    <row r="288" spans="1:16" ht="18.75" x14ac:dyDescent="0.25">
      <c r="A288" s="136"/>
      <c r="B288" s="41"/>
      <c r="C288" s="41"/>
      <c r="D288" s="42" t="s">
        <v>21</v>
      </c>
      <c r="E288" s="41"/>
      <c r="F288" s="41"/>
      <c r="G288" s="43"/>
      <c r="H288" s="147" t="s">
        <v>12</v>
      </c>
      <c r="I288" s="144"/>
      <c r="J288" s="144"/>
      <c r="K288" s="145"/>
      <c r="L288" s="47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</row>
    <row r="289" spans="1:16" ht="18.75" hidden="1" x14ac:dyDescent="0.25">
      <c r="A289" s="136"/>
      <c r="B289" s="41"/>
      <c r="C289" s="41"/>
      <c r="D289" s="41"/>
      <c r="E289" s="279" t="s">
        <v>18</v>
      </c>
      <c r="F289" s="41"/>
      <c r="G289" s="43"/>
      <c r="H289" s="146" t="s">
        <v>12</v>
      </c>
      <c r="I289" s="144"/>
      <c r="J289" s="144"/>
      <c r="K289" s="145"/>
      <c r="L289" s="50">
        <v>0</v>
      </c>
      <c r="M289" s="50">
        <v>0</v>
      </c>
      <c r="N289" s="50">
        <v>0</v>
      </c>
      <c r="O289" s="50">
        <f>IF(L289&gt;0,N289*100/L289,0)</f>
        <v>0</v>
      </c>
      <c r="P289" s="50">
        <f>IF(M289&gt;0,N289*100/M289,0)</f>
        <v>0</v>
      </c>
    </row>
    <row r="290" spans="1:16" ht="18.75" x14ac:dyDescent="0.25">
      <c r="A290" s="136"/>
      <c r="B290" s="41"/>
      <c r="C290" s="41"/>
      <c r="D290" s="41"/>
      <c r="E290" s="254" t="s">
        <v>19</v>
      </c>
      <c r="F290" s="41"/>
      <c r="G290" s="43"/>
      <c r="H290" s="147" t="s">
        <v>12</v>
      </c>
      <c r="I290" s="144"/>
      <c r="J290" s="144"/>
      <c r="K290" s="145"/>
      <c r="L290" s="47">
        <f ca="1">IFERROR(__xludf.DUMMYFUNCTION("IMPORTRANGE(""https://docs.google.com/spreadsheets/d/1-uDff_7J0KD5mKrp0Vvzr7lt3OU09vwQwhkpOPPYv2Y/edit?usp=sharing"",""งบพรบ!DR22"")"),0)</f>
        <v>0</v>
      </c>
      <c r="M290" s="47">
        <f ca="1">IFERROR(__xludf.DUMMYFUNCTION("IMPORTRANGE(""https://docs.google.com/spreadsheets/d/1-uDff_7J0KD5mKrp0Vvzr7lt3OU09vwQwhkpOPPYv2Y/edit?usp=sharing"",""งบพรบ!DU22"")"),0)</f>
        <v>0</v>
      </c>
      <c r="N290" s="47">
        <f ca="1">IFERROR(__xludf.DUMMYFUNCTION("IMPORTRANGE(""https://docs.google.com/spreadsheets/d/1-uDff_7J0KD5mKrp0Vvzr7lt3OU09vwQwhkpOPPYv2Y/edit?usp=sharing"",""งบพรบ!DW22"")"),0)</f>
        <v>0</v>
      </c>
      <c r="O290" s="47">
        <f ca="1">IF(L290&gt;0,N290*100/L290,0)</f>
        <v>0</v>
      </c>
      <c r="P290" s="47">
        <f ca="1">IF(M290&gt;0,N290*100/M290,0)</f>
        <v>0</v>
      </c>
    </row>
    <row r="291" spans="1:16" ht="19.5" x14ac:dyDescent="0.3">
      <c r="A291" s="148"/>
      <c r="B291" s="149"/>
      <c r="C291" s="197" t="s">
        <v>16</v>
      </c>
      <c r="D291" s="395" t="s">
        <v>36</v>
      </c>
      <c r="E291" s="151"/>
      <c r="F291" s="151"/>
      <c r="G291" s="152"/>
      <c r="H291" s="153"/>
      <c r="I291" s="144"/>
      <c r="J291" s="144"/>
      <c r="K291" s="145"/>
      <c r="L291" s="145"/>
      <c r="M291" s="145"/>
      <c r="N291" s="145"/>
      <c r="O291" s="145"/>
      <c r="P291" s="145"/>
    </row>
    <row r="292" spans="1:16" ht="18.75" x14ac:dyDescent="0.25">
      <c r="A292" s="148"/>
      <c r="B292" s="149"/>
      <c r="C292" s="149"/>
      <c r="D292" s="159" t="s">
        <v>114</v>
      </c>
      <c r="E292" s="149"/>
      <c r="F292" s="155"/>
      <c r="G292" s="153"/>
      <c r="H292" s="164" t="s">
        <v>44</v>
      </c>
      <c r="I292" s="169">
        <f ca="1">IFERROR(__xludf.DUMMYFUNCTION("IMPORTRANGE(""https://docs.google.com/spreadsheets/d/1eHaY18a8A9IcSdp1K8H6x8fbOy06t2VsZHhMHf-1x7Y/edit?usp=sharing"",""แผน!EE22"")"),100)</f>
        <v>100</v>
      </c>
      <c r="J292" s="250">
        <v>0</v>
      </c>
      <c r="K292" s="163">
        <f ca="1">IF(I292&gt;0,J292*100/I292,0)</f>
        <v>0</v>
      </c>
      <c r="L292" s="145"/>
      <c r="M292" s="145"/>
      <c r="N292" s="145"/>
      <c r="O292" s="145"/>
      <c r="P292" s="145"/>
    </row>
    <row r="293" spans="1:16" ht="19.5" x14ac:dyDescent="0.3">
      <c r="A293" s="148"/>
      <c r="B293" s="149"/>
      <c r="C293" s="149"/>
      <c r="D293" s="159" t="s">
        <v>115</v>
      </c>
      <c r="E293" s="149"/>
      <c r="F293" s="155"/>
      <c r="G293" s="153"/>
      <c r="H293" s="156" t="s">
        <v>33</v>
      </c>
      <c r="I293" s="157">
        <f ca="1">IFERROR(__xludf.DUMMYFUNCTION("IMPORTRANGE(""https://docs.google.com/spreadsheets/d/1eHaY18a8A9IcSdp1K8H6x8fbOy06t2VsZHhMHf-1x7Y/edit?usp=sharing"",""แผน!ED22"")"),10)</f>
        <v>10</v>
      </c>
      <c r="J293" s="157">
        <f>J296</f>
        <v>0</v>
      </c>
      <c r="K293" s="158">
        <f ca="1">IF(I293&gt;0,J293*100/I293,0)</f>
        <v>0</v>
      </c>
      <c r="L293" s="145"/>
      <c r="M293" s="145"/>
      <c r="N293" s="145"/>
      <c r="O293" s="145"/>
      <c r="P293" s="145"/>
    </row>
    <row r="294" spans="1:16" ht="19.5" x14ac:dyDescent="0.3">
      <c r="A294" s="148"/>
      <c r="B294" s="149"/>
      <c r="C294" s="149"/>
      <c r="D294" s="155"/>
      <c r="E294" s="167" t="s">
        <v>116</v>
      </c>
      <c r="F294" s="155"/>
      <c r="G294" s="153"/>
      <c r="H294" s="153"/>
      <c r="I294" s="144"/>
      <c r="J294" s="45"/>
      <c r="K294" s="145"/>
      <c r="L294" s="145"/>
      <c r="M294" s="145"/>
      <c r="N294" s="145"/>
      <c r="O294" s="145"/>
      <c r="P294" s="145"/>
    </row>
    <row r="295" spans="1:16" ht="19.5" x14ac:dyDescent="0.3">
      <c r="A295" s="148"/>
      <c r="B295" s="149"/>
      <c r="C295" s="149"/>
      <c r="D295" s="155"/>
      <c r="E295" s="159" t="s">
        <v>117</v>
      </c>
      <c r="F295" s="155"/>
      <c r="G295" s="153"/>
      <c r="H295" s="251" t="s">
        <v>33</v>
      </c>
      <c r="I295" s="161">
        <f ca="1">IFERROR(__xludf.DUMMYFUNCTION("IMPORTRANGE(""https://docs.google.com/spreadsheets/d/1eHaY18a8A9IcSdp1K8H6x8fbOy06t2VsZHhMHf-1x7Y/edit?usp=sharing"",""แผน!ED22"")"),10)</f>
        <v>10</v>
      </c>
      <c r="J295" s="250">
        <v>0</v>
      </c>
      <c r="K295" s="163">
        <f ca="1">IF(I295&gt;0,J295*100/I295,0)</f>
        <v>0</v>
      </c>
      <c r="L295" s="145"/>
      <c r="M295" s="145"/>
      <c r="N295" s="145"/>
      <c r="O295" s="145"/>
      <c r="P295" s="145"/>
    </row>
    <row r="296" spans="1:16" ht="19.5" x14ac:dyDescent="0.3">
      <c r="A296" s="148"/>
      <c r="B296" s="149"/>
      <c r="C296" s="149"/>
      <c r="D296" s="155"/>
      <c r="E296" s="159" t="s">
        <v>118</v>
      </c>
      <c r="F296" s="155"/>
      <c r="G296" s="153"/>
      <c r="H296" s="251" t="s">
        <v>33</v>
      </c>
      <c r="I296" s="161">
        <f ca="1">IFERROR(__xludf.DUMMYFUNCTION("IMPORTRANGE(""https://docs.google.com/spreadsheets/d/1eHaY18a8A9IcSdp1K8H6x8fbOy06t2VsZHhMHf-1x7Y/edit?usp=sharing"",""แผน!ED22"")"),10)</f>
        <v>10</v>
      </c>
      <c r="J296" s="250">
        <v>0</v>
      </c>
      <c r="K296" s="163">
        <f ca="1">IF(I296&gt;0,J296*100/I296,0)</f>
        <v>0</v>
      </c>
      <c r="L296" s="145"/>
      <c r="M296" s="145"/>
      <c r="N296" s="145"/>
      <c r="O296" s="145"/>
      <c r="P296" s="145"/>
    </row>
    <row r="297" spans="1:16" ht="12.75" hidden="1" x14ac:dyDescent="0.2">
      <c r="A297" s="165"/>
      <c r="B297" s="166"/>
      <c r="C297" s="166"/>
      <c r="D297" s="16"/>
      <c r="E297" s="16"/>
      <c r="F297" s="16"/>
      <c r="G297" s="17"/>
      <c r="H297" s="17"/>
      <c r="I297" s="18"/>
      <c r="J297" s="18"/>
      <c r="K297" s="19"/>
      <c r="L297" s="19"/>
      <c r="M297" s="19"/>
      <c r="N297" s="19"/>
      <c r="O297" s="19"/>
      <c r="P297" s="19"/>
    </row>
    <row r="298" spans="1:16" ht="12.75" hidden="1" x14ac:dyDescent="0.2">
      <c r="A298" s="165"/>
      <c r="B298" s="166"/>
      <c r="C298" s="166"/>
      <c r="D298" s="16"/>
      <c r="E298" s="16"/>
      <c r="F298" s="16"/>
      <c r="G298" s="17"/>
      <c r="H298" s="17"/>
      <c r="I298" s="18"/>
      <c r="J298" s="18"/>
      <c r="K298" s="19"/>
      <c r="L298" s="19"/>
      <c r="M298" s="19"/>
      <c r="N298" s="19"/>
      <c r="O298" s="19"/>
      <c r="P298" s="19"/>
    </row>
    <row r="299" spans="1:16" ht="12.75" hidden="1" x14ac:dyDescent="0.2">
      <c r="A299" s="309"/>
      <c r="B299" s="310"/>
      <c r="C299" s="310"/>
      <c r="D299" s="21"/>
      <c r="E299" s="21"/>
      <c r="F299" s="21"/>
      <c r="G299" s="12"/>
      <c r="H299" s="12"/>
      <c r="I299" s="13"/>
      <c r="J299" s="13"/>
      <c r="K299" s="14"/>
      <c r="L299" s="14"/>
      <c r="M299" s="14"/>
      <c r="N299" s="14"/>
      <c r="O299" s="14"/>
      <c r="P299" s="14"/>
    </row>
    <row r="300" spans="1:16" ht="19.5" hidden="1" x14ac:dyDescent="0.3">
      <c r="A300" s="311" t="s">
        <v>119</v>
      </c>
      <c r="B300" s="312"/>
      <c r="C300" s="312"/>
      <c r="D300" s="312"/>
      <c r="E300" s="313"/>
      <c r="F300" s="313"/>
      <c r="G300" s="313"/>
      <c r="H300" s="313"/>
      <c r="I300" s="314"/>
      <c r="J300" s="314"/>
      <c r="K300" s="315"/>
      <c r="L300" s="315"/>
      <c r="M300" s="315"/>
      <c r="N300" s="315"/>
      <c r="O300" s="315"/>
      <c r="P300" s="316"/>
    </row>
    <row r="301" spans="1:16" ht="19.5" hidden="1" x14ac:dyDescent="0.3">
      <c r="A301" s="317" t="s">
        <v>120</v>
      </c>
      <c r="B301" s="318"/>
      <c r="C301" s="318"/>
      <c r="D301" s="319"/>
      <c r="E301" s="319"/>
      <c r="F301" s="319"/>
      <c r="G301" s="320"/>
      <c r="H301" s="320"/>
      <c r="I301" s="321"/>
      <c r="J301" s="321"/>
      <c r="K301" s="322"/>
      <c r="L301" s="322"/>
      <c r="M301" s="322"/>
      <c r="N301" s="322"/>
      <c r="O301" s="322"/>
      <c r="P301" s="322"/>
    </row>
    <row r="302" spans="1:16" ht="19.5" hidden="1" x14ac:dyDescent="0.3">
      <c r="A302" s="323"/>
      <c r="B302" s="324" t="s">
        <v>121</v>
      </c>
      <c r="C302" s="325"/>
      <c r="D302" s="325"/>
      <c r="E302" s="325"/>
      <c r="F302" s="325"/>
      <c r="G302" s="326"/>
      <c r="H302" s="327" t="s">
        <v>33</v>
      </c>
      <c r="I302" s="328">
        <f ca="1">I314</f>
        <v>0</v>
      </c>
      <c r="J302" s="328">
        <f>J314</f>
        <v>0</v>
      </c>
      <c r="K302" s="329">
        <f ca="1">IF(I302&gt;0,J302*100/I302,0)</f>
        <v>0</v>
      </c>
      <c r="L302" s="330"/>
      <c r="M302" s="330"/>
      <c r="N302" s="330"/>
      <c r="O302" s="330"/>
      <c r="P302" s="330"/>
    </row>
    <row r="303" spans="1:16" ht="19.5" hidden="1" x14ac:dyDescent="0.3">
      <c r="A303" s="136"/>
      <c r="B303" s="41"/>
      <c r="C303" s="197" t="s">
        <v>16</v>
      </c>
      <c r="D303" s="397" t="s">
        <v>17</v>
      </c>
      <c r="E303" s="41"/>
      <c r="F303" s="41"/>
      <c r="G303" s="43"/>
      <c r="H303" s="139" t="s">
        <v>12</v>
      </c>
      <c r="I303" s="45"/>
      <c r="J303" s="45"/>
      <c r="K303" s="46"/>
      <c r="L303" s="140">
        <f ca="1">L304+L305</f>
        <v>0</v>
      </c>
      <c r="M303" s="140">
        <f ca="1">M304+M305</f>
        <v>0</v>
      </c>
      <c r="N303" s="140">
        <f ca="1">N304+N305</f>
        <v>0</v>
      </c>
      <c r="O303" s="140">
        <f ca="1">IF(L303&gt;0,N303*100/L303,0)</f>
        <v>0</v>
      </c>
      <c r="P303" s="140">
        <f ca="1">IF(M303&gt;0,N303*100/M303,0)</f>
        <v>0</v>
      </c>
    </row>
    <row r="304" spans="1:16" ht="18.75" hidden="1" x14ac:dyDescent="0.25">
      <c r="A304" s="136"/>
      <c r="B304" s="41"/>
      <c r="C304" s="41"/>
      <c r="D304" s="41"/>
      <c r="E304" s="279" t="s">
        <v>18</v>
      </c>
      <c r="F304" s="41"/>
      <c r="G304" s="43"/>
      <c r="H304" s="141" t="s">
        <v>12</v>
      </c>
      <c r="I304" s="45"/>
      <c r="J304" s="45"/>
      <c r="K304" s="46"/>
      <c r="L304" s="50">
        <f>L307+L310</f>
        <v>0</v>
      </c>
      <c r="M304" s="50">
        <f>M307+M310</f>
        <v>0</v>
      </c>
      <c r="N304" s="50">
        <f>N307+N310</f>
        <v>0</v>
      </c>
      <c r="O304" s="50">
        <f>IF(L304&gt;0,N304*100/L304,0)</f>
        <v>0</v>
      </c>
      <c r="P304" s="50">
        <f>IF(M304&gt;0,N304*100/M304,0)</f>
        <v>0</v>
      </c>
    </row>
    <row r="305" spans="1:16" ht="18.75" hidden="1" x14ac:dyDescent="0.25">
      <c r="A305" s="136"/>
      <c r="B305" s="41"/>
      <c r="C305" s="41"/>
      <c r="D305" s="41"/>
      <c r="E305" s="254" t="s">
        <v>19</v>
      </c>
      <c r="F305" s="41"/>
      <c r="G305" s="43"/>
      <c r="H305" s="142" t="s">
        <v>12</v>
      </c>
      <c r="I305" s="45"/>
      <c r="J305" s="45"/>
      <c r="K305" s="46"/>
      <c r="L305" s="47">
        <f ca="1">L308+L311</f>
        <v>0</v>
      </c>
      <c r="M305" s="47">
        <f ca="1">M308+M311</f>
        <v>0</v>
      </c>
      <c r="N305" s="47">
        <f ca="1">N308+N311</f>
        <v>0</v>
      </c>
      <c r="O305" s="47">
        <f ca="1">IF(L305&gt;0,N305*100/L305,0)</f>
        <v>0</v>
      </c>
      <c r="P305" s="47">
        <f ca="1">IF(M305&gt;0,N305*100/M305,0)</f>
        <v>0</v>
      </c>
    </row>
    <row r="306" spans="1:16" ht="18.75" hidden="1" x14ac:dyDescent="0.25">
      <c r="A306" s="136"/>
      <c r="B306" s="41"/>
      <c r="C306" s="41"/>
      <c r="D306" s="42" t="s">
        <v>20</v>
      </c>
      <c r="E306" s="41"/>
      <c r="F306" s="41"/>
      <c r="G306" s="43"/>
      <c r="H306" s="143" t="s">
        <v>12</v>
      </c>
      <c r="I306" s="144"/>
      <c r="J306" s="144"/>
      <c r="K306" s="145"/>
      <c r="L306" s="47">
        <f ca="1">L307+L308</f>
        <v>0</v>
      </c>
      <c r="M306" s="47">
        <f ca="1">M307+M308</f>
        <v>0</v>
      </c>
      <c r="N306" s="47">
        <f ca="1">N307+N308</f>
        <v>0</v>
      </c>
      <c r="O306" s="47">
        <f ca="1">IF(L306&gt;0,N306*100/L306,0)</f>
        <v>0</v>
      </c>
      <c r="P306" s="47">
        <f ca="1">IF(M306&gt;0,N306*100/M306,0)</f>
        <v>0</v>
      </c>
    </row>
    <row r="307" spans="1:16" ht="18.75" hidden="1" x14ac:dyDescent="0.25">
      <c r="A307" s="136"/>
      <c r="B307" s="41"/>
      <c r="C307" s="41"/>
      <c r="D307" s="41"/>
      <c r="E307" s="279" t="s">
        <v>34</v>
      </c>
      <c r="F307" s="41"/>
      <c r="G307" s="43"/>
      <c r="H307" s="146" t="s">
        <v>12</v>
      </c>
      <c r="I307" s="144"/>
      <c r="J307" s="144"/>
      <c r="K307" s="145"/>
      <c r="L307" s="50">
        <v>0</v>
      </c>
      <c r="M307" s="50">
        <v>0</v>
      </c>
      <c r="N307" s="50">
        <v>0</v>
      </c>
      <c r="O307" s="50">
        <f>IF(L307&gt;0,N307*100/L307,0)</f>
        <v>0</v>
      </c>
      <c r="P307" s="50">
        <f>IF(M307&gt;0,N307*100/M307,0)</f>
        <v>0</v>
      </c>
    </row>
    <row r="308" spans="1:16" ht="18.75" hidden="1" x14ac:dyDescent="0.25">
      <c r="A308" s="136"/>
      <c r="B308" s="41"/>
      <c r="C308" s="41"/>
      <c r="D308" s="41"/>
      <c r="E308" s="254" t="s">
        <v>35</v>
      </c>
      <c r="F308" s="41"/>
      <c r="G308" s="43"/>
      <c r="H308" s="143" t="s">
        <v>12</v>
      </c>
      <c r="I308" s="144"/>
      <c r="J308" s="144"/>
      <c r="K308" s="145"/>
      <c r="L308" s="47">
        <f ca="1">IFERROR(__xludf.DUMMYFUNCTION("IMPORTRANGE(""https://docs.google.com/spreadsheets/d/1-uDff_7J0KD5mKrp0Vvzr7lt3OU09vwQwhkpOPPYv2Y/edit?usp=sharing"",""งบพรบ!DY22"")"),0)</f>
        <v>0</v>
      </c>
      <c r="M308" s="47">
        <f ca="1">IFERROR(__xludf.DUMMYFUNCTION("IMPORTRANGE(""https://docs.google.com/spreadsheets/d/1-uDff_7J0KD5mKrp0Vvzr7lt3OU09vwQwhkpOPPYv2Y/edit?usp=sharing"",""งบพรบ!ED22"")"),0)</f>
        <v>0</v>
      </c>
      <c r="N308" s="47">
        <f ca="1">IFERROR(__xludf.DUMMYFUNCTION("IMPORTRANGE(""https://docs.google.com/spreadsheets/d/1-uDff_7J0KD5mKrp0Vvzr7lt3OU09vwQwhkpOPPYv2Y/edit?usp=sharing"",""งบพรบ!EF22"")"),0)</f>
        <v>0</v>
      </c>
      <c r="O308" s="47">
        <f ca="1">IF(L308&gt;0,N308*100/L308,0)</f>
        <v>0</v>
      </c>
      <c r="P308" s="47">
        <f ca="1">IF(M308&gt;0,N308*100/M308,0)</f>
        <v>0</v>
      </c>
    </row>
    <row r="309" spans="1:16" ht="18.75" hidden="1" x14ac:dyDescent="0.25">
      <c r="A309" s="136"/>
      <c r="B309" s="41"/>
      <c r="C309" s="41"/>
      <c r="D309" s="42" t="s">
        <v>21</v>
      </c>
      <c r="E309" s="41"/>
      <c r="F309" s="41"/>
      <c r="G309" s="43"/>
      <c r="H309" s="147" t="s">
        <v>12</v>
      </c>
      <c r="I309" s="144"/>
      <c r="J309" s="144"/>
      <c r="K309" s="145"/>
      <c r="L309" s="47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</row>
    <row r="310" spans="1:16" ht="18.75" hidden="1" x14ac:dyDescent="0.25">
      <c r="A310" s="136"/>
      <c r="B310" s="41"/>
      <c r="C310" s="41"/>
      <c r="D310" s="41"/>
      <c r="E310" s="279" t="s">
        <v>18</v>
      </c>
      <c r="F310" s="41"/>
      <c r="G310" s="43"/>
      <c r="H310" s="146" t="s">
        <v>12</v>
      </c>
      <c r="I310" s="144"/>
      <c r="J310" s="144"/>
      <c r="K310" s="145"/>
      <c r="L310" s="50">
        <v>0</v>
      </c>
      <c r="M310" s="50">
        <v>0</v>
      </c>
      <c r="N310" s="50">
        <v>0</v>
      </c>
      <c r="O310" s="50">
        <f>IF(L310&gt;0,N310*100/L310,0)</f>
        <v>0</v>
      </c>
      <c r="P310" s="50">
        <f>IF(M310&gt;0,N310*100/M310,0)</f>
        <v>0</v>
      </c>
    </row>
    <row r="311" spans="1:16" ht="18.75" hidden="1" x14ac:dyDescent="0.25">
      <c r="A311" s="136"/>
      <c r="B311" s="41"/>
      <c r="C311" s="41"/>
      <c r="D311" s="41"/>
      <c r="E311" s="254" t="s">
        <v>19</v>
      </c>
      <c r="F311" s="41"/>
      <c r="G311" s="43"/>
      <c r="H311" s="147" t="s">
        <v>12</v>
      </c>
      <c r="I311" s="144"/>
      <c r="J311" s="144"/>
      <c r="K311" s="145"/>
      <c r="L311" s="47">
        <f ca="1">IFERROR(__xludf.DUMMYFUNCTION("IMPORTRANGE(""https://docs.google.com/spreadsheets/d/1-uDff_7J0KD5mKrp0Vvzr7lt3OU09vwQwhkpOPPYv2Y/edit?usp=sharing"",""งบพรบ!EB22"")"),0)</f>
        <v>0</v>
      </c>
      <c r="M311" s="47">
        <f ca="1">IFERROR(__xludf.DUMMYFUNCTION("IMPORTRANGE(""https://docs.google.com/spreadsheets/d/1-uDff_7J0KD5mKrp0Vvzr7lt3OU09vwQwhkpOPPYv2Y/edit?usp=sharing"",""งบพรบ!EE22"")"),0)</f>
        <v>0</v>
      </c>
      <c r="N311" s="47">
        <f ca="1">IFERROR(__xludf.DUMMYFUNCTION("IMPORTRANGE(""https://docs.google.com/spreadsheets/d/1-uDff_7J0KD5mKrp0Vvzr7lt3OU09vwQwhkpOPPYv2Y/edit?usp=sharing"",""งบพรบ!EG22"")"),0)</f>
        <v>0</v>
      </c>
      <c r="O311" s="47">
        <f ca="1">IF(L311&gt;0,N311*100/L311,0)</f>
        <v>0</v>
      </c>
      <c r="P311" s="47">
        <f ca="1">IF(M311&gt;0,N311*100/M311,0)</f>
        <v>0</v>
      </c>
    </row>
    <row r="312" spans="1:16" ht="19.5" hidden="1" x14ac:dyDescent="0.3">
      <c r="A312" s="148"/>
      <c r="B312" s="149"/>
      <c r="C312" s="197" t="s">
        <v>16</v>
      </c>
      <c r="D312" s="395" t="s">
        <v>36</v>
      </c>
      <c r="E312" s="151"/>
      <c r="F312" s="151"/>
      <c r="G312" s="152"/>
      <c r="H312" s="153"/>
      <c r="I312" s="45"/>
      <c r="J312" s="45"/>
      <c r="K312" s="46"/>
      <c r="L312" s="46"/>
      <c r="M312" s="46"/>
      <c r="N312" s="46"/>
      <c r="O312" s="46"/>
      <c r="P312" s="46"/>
    </row>
    <row r="313" spans="1:16" ht="18.75" hidden="1" x14ac:dyDescent="0.25">
      <c r="A313" s="148"/>
      <c r="B313" s="149"/>
      <c r="C313" s="149"/>
      <c r="D313" s="159" t="s">
        <v>122</v>
      </c>
      <c r="E313" s="155"/>
      <c r="F313" s="155"/>
      <c r="G313" s="153"/>
      <c r="H313" s="153"/>
      <c r="I313" s="45"/>
      <c r="J313" s="250">
        <v>0</v>
      </c>
      <c r="K313" s="46"/>
      <c r="L313" s="46"/>
      <c r="M313" s="46"/>
      <c r="N313" s="46"/>
      <c r="O313" s="46"/>
      <c r="P313" s="46"/>
    </row>
    <row r="314" spans="1:16" ht="18.75" hidden="1" x14ac:dyDescent="0.25">
      <c r="A314" s="148"/>
      <c r="B314" s="149"/>
      <c r="C314" s="149"/>
      <c r="D314" s="159" t="s">
        <v>115</v>
      </c>
      <c r="E314" s="155"/>
      <c r="F314" s="155"/>
      <c r="G314" s="153"/>
      <c r="H314" s="251" t="s">
        <v>33</v>
      </c>
      <c r="I314" s="169">
        <f ca="1">IFERROR(__xludf.DUMMYFUNCTION("IMPORTRANGE(""https://docs.google.com/spreadsheets/d/1eHaY18a8A9IcSdp1K8H6x8fbOy06t2VsZHhMHf-1x7Y/edit?usp=sharing"",""แผน!EF22"")"),0)</f>
        <v>0</v>
      </c>
      <c r="J314" s="250">
        <v>0</v>
      </c>
      <c r="K314" s="47">
        <f ca="1">IF(I314&gt;0,J314*100/I314,0)</f>
        <v>0</v>
      </c>
      <c r="L314" s="46"/>
      <c r="M314" s="46"/>
      <c r="N314" s="46"/>
      <c r="O314" s="46"/>
      <c r="P314" s="46"/>
    </row>
    <row r="315" spans="1:16" ht="18.75" hidden="1" x14ac:dyDescent="0.25">
      <c r="A315" s="148"/>
      <c r="B315" s="149"/>
      <c r="C315" s="149"/>
      <c r="D315" s="159" t="s">
        <v>123</v>
      </c>
      <c r="E315" s="155"/>
      <c r="F315" s="155"/>
      <c r="G315" s="153"/>
      <c r="H315" s="251" t="s">
        <v>33</v>
      </c>
      <c r="I315" s="169">
        <f ca="1">IFERROR(__xludf.DUMMYFUNCTION("IMPORTRANGE(""https://docs.google.com/spreadsheets/d/1eHaY18a8A9IcSdp1K8H6x8fbOy06t2VsZHhMHf-1x7Y/edit?usp=sharing"",""แผน!EG22"")"),0)</f>
        <v>0</v>
      </c>
      <c r="J315" s="250">
        <v>0</v>
      </c>
      <c r="K315" s="47">
        <f ca="1">IF(I315&gt;0,J315*100/I315,0)</f>
        <v>0</v>
      </c>
      <c r="L315" s="46"/>
      <c r="M315" s="46"/>
      <c r="N315" s="46"/>
      <c r="O315" s="46"/>
      <c r="P315" s="46"/>
    </row>
    <row r="316" spans="1:16" ht="18.75" hidden="1" x14ac:dyDescent="0.25">
      <c r="A316" s="148"/>
      <c r="B316" s="149"/>
      <c r="C316" s="149"/>
      <c r="D316" s="159" t="s">
        <v>48</v>
      </c>
      <c r="E316" s="155"/>
      <c r="F316" s="155"/>
      <c r="G316" s="153"/>
      <c r="H316" s="251" t="s">
        <v>33</v>
      </c>
      <c r="I316" s="169">
        <f ca="1">IFERROR(__xludf.DUMMYFUNCTION("IMPORTRANGE(""https://docs.google.com/spreadsheets/d/1eHaY18a8A9IcSdp1K8H6x8fbOy06t2VsZHhMHf-1x7Y/edit?usp=sharing"",""แผน!EH22"")"),0)</f>
        <v>0</v>
      </c>
      <c r="J316" s="250">
        <v>0</v>
      </c>
      <c r="K316" s="47">
        <f ca="1">IF(I316&gt;0,J316*100/I316,0)</f>
        <v>0</v>
      </c>
      <c r="L316" s="46"/>
      <c r="M316" s="46"/>
      <c r="N316" s="46"/>
      <c r="O316" s="46"/>
      <c r="P316" s="46"/>
    </row>
    <row r="317" spans="1:16" ht="18.75" hidden="1" x14ac:dyDescent="0.25">
      <c r="A317" s="227"/>
      <c r="B317" s="228"/>
      <c r="C317" s="228"/>
      <c r="D317" s="279" t="s">
        <v>124</v>
      </c>
      <c r="E317" s="41"/>
      <c r="F317" s="41"/>
      <c r="G317" s="43"/>
      <c r="H317" s="49" t="s">
        <v>33</v>
      </c>
      <c r="I317" s="200">
        <f ca="1">IFERROR(__xludf.DUMMYFUNCTION("IMPORTRANGE(""https://docs.google.com/spreadsheets/d/1eHaY18a8A9IcSdp1K8H6x8fbOy06t2VsZHhMHf-1x7Y/edit?usp=sharing"",""แผน!EI22"")"),0)</f>
        <v>0</v>
      </c>
      <c r="J317" s="200">
        <v>0</v>
      </c>
      <c r="K317" s="50">
        <f ca="1">IF(I317&gt;0,J317*100/I317,0)</f>
        <v>0</v>
      </c>
      <c r="L317" s="46"/>
      <c r="M317" s="46"/>
      <c r="N317" s="46"/>
      <c r="O317" s="46"/>
      <c r="P317" s="46"/>
    </row>
    <row r="318" spans="1:16" ht="19.5" hidden="1" x14ac:dyDescent="0.3">
      <c r="A318" s="317" t="s">
        <v>125</v>
      </c>
      <c r="B318" s="318"/>
      <c r="C318" s="318"/>
      <c r="D318" s="319"/>
      <c r="E318" s="318"/>
      <c r="F318" s="318"/>
      <c r="G318" s="318"/>
      <c r="H318" s="319"/>
      <c r="I318" s="321"/>
      <c r="J318" s="321"/>
      <c r="K318" s="322"/>
      <c r="L318" s="322"/>
      <c r="M318" s="322"/>
      <c r="N318" s="322"/>
      <c r="O318" s="322"/>
      <c r="P318" s="322"/>
    </row>
    <row r="319" spans="1:16" ht="19.5" hidden="1" x14ac:dyDescent="0.3">
      <c r="A319" s="331"/>
      <c r="B319" s="324" t="s">
        <v>126</v>
      </c>
      <c r="C319" s="332"/>
      <c r="D319" s="333"/>
      <c r="E319" s="325"/>
      <c r="F319" s="325"/>
      <c r="G319" s="326"/>
      <c r="H319" s="327" t="s">
        <v>127</v>
      </c>
      <c r="I319" s="328">
        <f ca="1">I330</f>
        <v>0</v>
      </c>
      <c r="J319" s="328">
        <f>J330</f>
        <v>0</v>
      </c>
      <c r="K319" s="329">
        <f ca="1">IF(I319&gt;0,J319*100/I319,0)</f>
        <v>0</v>
      </c>
      <c r="L319" s="330"/>
      <c r="M319" s="330"/>
      <c r="N319" s="330"/>
      <c r="O319" s="330"/>
      <c r="P319" s="330"/>
    </row>
    <row r="320" spans="1:16" ht="19.5" hidden="1" x14ac:dyDescent="0.3">
      <c r="A320" s="136"/>
      <c r="B320" s="41"/>
      <c r="C320" s="197" t="s">
        <v>16</v>
      </c>
      <c r="D320" s="397" t="s">
        <v>17</v>
      </c>
      <c r="E320" s="41"/>
      <c r="F320" s="41"/>
      <c r="G320" s="43"/>
      <c r="H320" s="139" t="s">
        <v>12</v>
      </c>
      <c r="I320" s="45"/>
      <c r="J320" s="45"/>
      <c r="K320" s="46"/>
      <c r="L320" s="140">
        <f ca="1">L321+L322</f>
        <v>0</v>
      </c>
      <c r="M320" s="140">
        <f ca="1">M321+M322</f>
        <v>0</v>
      </c>
      <c r="N320" s="140">
        <f ca="1">N321+N322</f>
        <v>0</v>
      </c>
      <c r="O320" s="140">
        <f ca="1">IF(L320&gt;0,N320*100/L320,0)</f>
        <v>0</v>
      </c>
      <c r="P320" s="140">
        <f ca="1">IF(M320&gt;0,N320*100/M320,0)</f>
        <v>0</v>
      </c>
    </row>
    <row r="321" spans="1:16" ht="18.75" hidden="1" x14ac:dyDescent="0.25">
      <c r="A321" s="136"/>
      <c r="B321" s="41"/>
      <c r="C321" s="41"/>
      <c r="D321" s="41"/>
      <c r="E321" s="279" t="s">
        <v>18</v>
      </c>
      <c r="F321" s="41"/>
      <c r="G321" s="43"/>
      <c r="H321" s="141" t="s">
        <v>12</v>
      </c>
      <c r="I321" s="45"/>
      <c r="J321" s="45"/>
      <c r="K321" s="46"/>
      <c r="L321" s="50">
        <f>L324+L327</f>
        <v>0</v>
      </c>
      <c r="M321" s="50">
        <f>M324+M327</f>
        <v>0</v>
      </c>
      <c r="N321" s="50">
        <f>N324+N327</f>
        <v>0</v>
      </c>
      <c r="O321" s="50">
        <f>IF(L321&gt;0,N321*100/L321,0)</f>
        <v>0</v>
      </c>
      <c r="P321" s="50">
        <f>IF(M321&gt;0,N321*100/M321,0)</f>
        <v>0</v>
      </c>
    </row>
    <row r="322" spans="1:16" ht="18.75" hidden="1" x14ac:dyDescent="0.25">
      <c r="A322" s="136"/>
      <c r="B322" s="41"/>
      <c r="C322" s="41"/>
      <c r="D322" s="41"/>
      <c r="E322" s="254" t="s">
        <v>19</v>
      </c>
      <c r="F322" s="41"/>
      <c r="G322" s="43"/>
      <c r="H322" s="142" t="s">
        <v>12</v>
      </c>
      <c r="I322" s="45"/>
      <c r="J322" s="45"/>
      <c r="K322" s="46"/>
      <c r="L322" s="47">
        <f ca="1">L325+L328</f>
        <v>0</v>
      </c>
      <c r="M322" s="47">
        <f ca="1">M325+M328</f>
        <v>0</v>
      </c>
      <c r="N322" s="47">
        <f ca="1">N325+N328</f>
        <v>0</v>
      </c>
      <c r="O322" s="47">
        <f ca="1">IF(L322&gt;0,N322*100/L322,0)</f>
        <v>0</v>
      </c>
      <c r="P322" s="47">
        <f ca="1">IF(M322&gt;0,N322*100/M322,0)</f>
        <v>0</v>
      </c>
    </row>
    <row r="323" spans="1:16" ht="18.75" hidden="1" x14ac:dyDescent="0.25">
      <c r="A323" s="136"/>
      <c r="B323" s="41"/>
      <c r="C323" s="41"/>
      <c r="D323" s="42" t="s">
        <v>20</v>
      </c>
      <c r="E323" s="41"/>
      <c r="F323" s="41"/>
      <c r="G323" s="43"/>
      <c r="H323" s="143" t="s">
        <v>12</v>
      </c>
      <c r="I323" s="144"/>
      <c r="J323" s="144"/>
      <c r="K323" s="145"/>
      <c r="L323" s="47">
        <f ca="1">L324+L325</f>
        <v>0</v>
      </c>
      <c r="M323" s="47">
        <f ca="1">M324+M325</f>
        <v>0</v>
      </c>
      <c r="N323" s="47">
        <f ca="1">N324+N325</f>
        <v>0</v>
      </c>
      <c r="O323" s="47">
        <f ca="1">IF(L323&gt;0,N323*100/L323,0)</f>
        <v>0</v>
      </c>
      <c r="P323" s="47">
        <f ca="1">IF(M323&gt;0,N323*100/M323,0)</f>
        <v>0</v>
      </c>
    </row>
    <row r="324" spans="1:16" ht="18.75" hidden="1" x14ac:dyDescent="0.25">
      <c r="A324" s="136"/>
      <c r="B324" s="41"/>
      <c r="C324" s="41"/>
      <c r="D324" s="41"/>
      <c r="E324" s="279" t="s">
        <v>34</v>
      </c>
      <c r="F324" s="41"/>
      <c r="G324" s="43"/>
      <c r="H324" s="146" t="s">
        <v>12</v>
      </c>
      <c r="I324" s="144"/>
      <c r="J324" s="144"/>
      <c r="K324" s="145"/>
      <c r="L324" s="50">
        <v>0</v>
      </c>
      <c r="M324" s="50">
        <v>0</v>
      </c>
      <c r="N324" s="50">
        <v>0</v>
      </c>
      <c r="O324" s="50">
        <f>IF(L324&gt;0,N324*100/L324,0)</f>
        <v>0</v>
      </c>
      <c r="P324" s="50">
        <f>IF(M324&gt;0,N324*100/M324,0)</f>
        <v>0</v>
      </c>
    </row>
    <row r="325" spans="1:16" ht="18.75" hidden="1" x14ac:dyDescent="0.25">
      <c r="A325" s="136"/>
      <c r="B325" s="41"/>
      <c r="C325" s="41"/>
      <c r="D325" s="41"/>
      <c r="E325" s="254" t="s">
        <v>35</v>
      </c>
      <c r="F325" s="41"/>
      <c r="G325" s="43"/>
      <c r="H325" s="143" t="s">
        <v>12</v>
      </c>
      <c r="I325" s="144"/>
      <c r="J325" s="144"/>
      <c r="K325" s="145"/>
      <c r="L325" s="47">
        <f ca="1">IFERROR(__xludf.DUMMYFUNCTION("IMPORTRANGE(""https://docs.google.com/spreadsheets/d/1-uDff_7J0KD5mKrp0Vvzr7lt3OU09vwQwhkpOPPYv2Y/edit?usp=sharing"",""งบพรบ!EI22"")"),0)</f>
        <v>0</v>
      </c>
      <c r="M325" s="47">
        <f ca="1">IFERROR(__xludf.DUMMYFUNCTION("IMPORTRANGE(""https://docs.google.com/spreadsheets/d/1-uDff_7J0KD5mKrp0Vvzr7lt3OU09vwQwhkpOPPYv2Y/edit?usp=sharing"",""งบพรบ!EN22"")"),0)</f>
        <v>0</v>
      </c>
      <c r="N325" s="47">
        <f ca="1">IFERROR(__xludf.DUMMYFUNCTION("IMPORTRANGE(""https://docs.google.com/spreadsheets/d/1-uDff_7J0KD5mKrp0Vvzr7lt3OU09vwQwhkpOPPYv2Y/edit?usp=sharing"",""งบพรบ!EP22"")"),0)</f>
        <v>0</v>
      </c>
      <c r="O325" s="47">
        <f ca="1">IF(L325&gt;0,N325*100/L325,0)</f>
        <v>0</v>
      </c>
      <c r="P325" s="47">
        <f ca="1">IF(M325&gt;0,N325*100/M325,0)</f>
        <v>0</v>
      </c>
    </row>
    <row r="326" spans="1:16" ht="18.75" hidden="1" x14ac:dyDescent="0.25">
      <c r="A326" s="136"/>
      <c r="B326" s="41"/>
      <c r="C326" s="41"/>
      <c r="D326" s="42" t="s">
        <v>21</v>
      </c>
      <c r="E326" s="41"/>
      <c r="F326" s="41"/>
      <c r="G326" s="43"/>
      <c r="H326" s="147" t="s">
        <v>12</v>
      </c>
      <c r="I326" s="144"/>
      <c r="J326" s="144"/>
      <c r="K326" s="145"/>
      <c r="L326" s="47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</row>
    <row r="327" spans="1:16" ht="18.75" hidden="1" x14ac:dyDescent="0.25">
      <c r="A327" s="136"/>
      <c r="B327" s="41"/>
      <c r="C327" s="41"/>
      <c r="D327" s="41"/>
      <c r="E327" s="279" t="s">
        <v>18</v>
      </c>
      <c r="F327" s="41"/>
      <c r="G327" s="43"/>
      <c r="H327" s="146" t="s">
        <v>12</v>
      </c>
      <c r="I327" s="144"/>
      <c r="J327" s="144"/>
      <c r="K327" s="145"/>
      <c r="L327" s="50">
        <v>0</v>
      </c>
      <c r="M327" s="50">
        <v>0</v>
      </c>
      <c r="N327" s="50">
        <v>0</v>
      </c>
      <c r="O327" s="50">
        <f>IF(L327&gt;0,N327*100/L327,0)</f>
        <v>0</v>
      </c>
      <c r="P327" s="50">
        <f>IF(M327&gt;0,N327*100/M327,0)</f>
        <v>0</v>
      </c>
    </row>
    <row r="328" spans="1:16" ht="18.75" hidden="1" x14ac:dyDescent="0.25">
      <c r="A328" s="136"/>
      <c r="B328" s="41"/>
      <c r="C328" s="41"/>
      <c r="D328" s="41"/>
      <c r="E328" s="254" t="s">
        <v>19</v>
      </c>
      <c r="F328" s="41"/>
      <c r="G328" s="43"/>
      <c r="H328" s="147" t="s">
        <v>12</v>
      </c>
      <c r="I328" s="144"/>
      <c r="J328" s="144"/>
      <c r="K328" s="145"/>
      <c r="L328" s="47">
        <f ca="1">IFERROR(__xludf.DUMMYFUNCTION("IMPORTRANGE(""https://docs.google.com/spreadsheets/d/1-uDff_7J0KD5mKrp0Vvzr7lt3OU09vwQwhkpOPPYv2Y/edit?usp=sharing"",""งบพรบ!EL22"")"),0)</f>
        <v>0</v>
      </c>
      <c r="M328" s="47">
        <f ca="1">IFERROR(__xludf.DUMMYFUNCTION("IMPORTRANGE(""https://docs.google.com/spreadsheets/d/1-uDff_7J0KD5mKrp0Vvzr7lt3OU09vwQwhkpOPPYv2Y/edit?usp=sharing"",""งบพรบ!EO22"")"),0)</f>
        <v>0</v>
      </c>
      <c r="N328" s="47">
        <f ca="1">IFERROR(__xludf.DUMMYFUNCTION("IMPORTRANGE(""https://docs.google.com/spreadsheets/d/1-uDff_7J0KD5mKrp0Vvzr7lt3OU09vwQwhkpOPPYv2Y/edit?usp=sharing"",""งบพรบ!EQ22"")"),0)</f>
        <v>0</v>
      </c>
      <c r="O328" s="47">
        <f ca="1">IF(L328&gt;0,N328*100/L328,0)</f>
        <v>0</v>
      </c>
      <c r="P328" s="47">
        <f ca="1">IF(M328&gt;0,N328*100/M328,0)</f>
        <v>0</v>
      </c>
    </row>
    <row r="329" spans="1:16" ht="19.5" hidden="1" x14ac:dyDescent="0.3">
      <c r="A329" s="148"/>
      <c r="B329" s="149"/>
      <c r="C329" s="197" t="s">
        <v>16</v>
      </c>
      <c r="D329" s="395" t="s">
        <v>36</v>
      </c>
      <c r="E329" s="151"/>
      <c r="F329" s="151"/>
      <c r="G329" s="152"/>
      <c r="H329" s="153"/>
      <c r="I329" s="144"/>
      <c r="J329" s="45"/>
      <c r="K329" s="46"/>
      <c r="L329" s="46"/>
      <c r="M329" s="46"/>
      <c r="N329" s="46"/>
      <c r="O329" s="145"/>
      <c r="P329" s="145"/>
    </row>
    <row r="330" spans="1:16" ht="18.75" hidden="1" x14ac:dyDescent="0.25">
      <c r="A330" s="148"/>
      <c r="B330" s="149"/>
      <c r="C330" s="149"/>
      <c r="D330" s="154" t="s">
        <v>128</v>
      </c>
      <c r="E330" s="155"/>
      <c r="F330" s="155"/>
      <c r="G330" s="153"/>
      <c r="H330" s="44" t="s">
        <v>127</v>
      </c>
      <c r="I330" s="169">
        <f ca="1">IFERROR(__xludf.DUMMYFUNCTION("IMPORTRANGE(""https://docs.google.com/spreadsheets/d/1eHaY18a8A9IcSdp1K8H6x8fbOy06t2VsZHhMHf-1x7Y/edit?usp=sharing"",""แผน!EJ22"")"),0)</f>
        <v>0</v>
      </c>
      <c r="J330" s="250">
        <v>0</v>
      </c>
      <c r="K330" s="47">
        <f ca="1">IF(I330&gt;0,J330*100/I330,0)</f>
        <v>0</v>
      </c>
      <c r="L330" s="46"/>
      <c r="M330" s="46"/>
      <c r="N330" s="46"/>
      <c r="O330" s="145"/>
      <c r="P330" s="145"/>
    </row>
    <row r="331" spans="1:16" ht="19.5" x14ac:dyDescent="0.3">
      <c r="A331" s="317" t="s">
        <v>129</v>
      </c>
      <c r="B331" s="318"/>
      <c r="C331" s="318"/>
      <c r="D331" s="319"/>
      <c r="E331" s="318"/>
      <c r="F331" s="318"/>
      <c r="G331" s="318"/>
      <c r="H331" s="319"/>
      <c r="I331" s="321"/>
      <c r="J331" s="321"/>
      <c r="K331" s="322"/>
      <c r="L331" s="322"/>
      <c r="M331" s="322"/>
      <c r="N331" s="322"/>
      <c r="O331" s="322"/>
      <c r="P331" s="322"/>
    </row>
    <row r="332" spans="1:16" ht="19.5" x14ac:dyDescent="0.3">
      <c r="A332" s="323"/>
      <c r="B332" s="324" t="s">
        <v>130</v>
      </c>
      <c r="C332" s="333"/>
      <c r="D332" s="325"/>
      <c r="E332" s="325"/>
      <c r="F332" s="325"/>
      <c r="G332" s="326"/>
      <c r="H332" s="327" t="s">
        <v>33</v>
      </c>
      <c r="I332" s="334">
        <f ca="1">I344</f>
        <v>1060</v>
      </c>
      <c r="J332" s="335">
        <f ca="1">J344+J347+J348+J349+J353</f>
        <v>831</v>
      </c>
      <c r="K332" s="336">
        <f ca="1">IF(I332&gt;0,J332*100/I332,0)</f>
        <v>78.396226415094333</v>
      </c>
      <c r="L332" s="330"/>
      <c r="M332" s="330"/>
      <c r="N332" s="330"/>
      <c r="O332" s="330"/>
      <c r="P332" s="330"/>
    </row>
    <row r="333" spans="1:16" ht="19.5" x14ac:dyDescent="0.3">
      <c r="A333" s="136"/>
      <c r="B333" s="41"/>
      <c r="C333" s="197" t="s">
        <v>16</v>
      </c>
      <c r="D333" s="397" t="s">
        <v>17</v>
      </c>
      <c r="E333" s="41"/>
      <c r="F333" s="41"/>
      <c r="G333" s="43"/>
      <c r="H333" s="139" t="s">
        <v>12</v>
      </c>
      <c r="I333" s="45"/>
      <c r="J333" s="45"/>
      <c r="K333" s="46"/>
      <c r="L333" s="140">
        <f ca="1">L334+L335</f>
        <v>110000</v>
      </c>
      <c r="M333" s="140">
        <f ca="1">M334+M335</f>
        <v>85750</v>
      </c>
      <c r="N333" s="140">
        <f ca="1">N334+N335</f>
        <v>0</v>
      </c>
      <c r="O333" s="140">
        <f ca="1">IF(L333&gt;0,N333*100/L333,0)</f>
        <v>0</v>
      </c>
      <c r="P333" s="140">
        <f ca="1">IF(M333&gt;0,N333*100/M333,0)</f>
        <v>0</v>
      </c>
    </row>
    <row r="334" spans="1:16" ht="18.75" hidden="1" x14ac:dyDescent="0.25">
      <c r="A334" s="136"/>
      <c r="B334" s="41"/>
      <c r="C334" s="41"/>
      <c r="D334" s="41"/>
      <c r="E334" s="279" t="s">
        <v>18</v>
      </c>
      <c r="F334" s="41"/>
      <c r="G334" s="43"/>
      <c r="H334" s="141" t="s">
        <v>12</v>
      </c>
      <c r="I334" s="45"/>
      <c r="J334" s="45"/>
      <c r="K334" s="46"/>
      <c r="L334" s="50">
        <f>L337+L340</f>
        <v>0</v>
      </c>
      <c r="M334" s="50">
        <f>M337+M340</f>
        <v>0</v>
      </c>
      <c r="N334" s="50">
        <f>N337+N340</f>
        <v>0</v>
      </c>
      <c r="O334" s="50">
        <f>IF(L334&gt;0,N334*100/L334,0)</f>
        <v>0</v>
      </c>
      <c r="P334" s="50">
        <f>IF(M334&gt;0,N334*100/M334,0)</f>
        <v>0</v>
      </c>
    </row>
    <row r="335" spans="1:16" ht="18.75" x14ac:dyDescent="0.25">
      <c r="A335" s="136"/>
      <c r="B335" s="41"/>
      <c r="C335" s="41"/>
      <c r="D335" s="41"/>
      <c r="E335" s="254" t="s">
        <v>19</v>
      </c>
      <c r="F335" s="41"/>
      <c r="G335" s="43"/>
      <c r="H335" s="142" t="s">
        <v>12</v>
      </c>
      <c r="I335" s="45"/>
      <c r="J335" s="45"/>
      <c r="K335" s="46"/>
      <c r="L335" s="47">
        <f ca="1">L338+L341</f>
        <v>110000</v>
      </c>
      <c r="M335" s="47">
        <f ca="1">M338+M341</f>
        <v>85750</v>
      </c>
      <c r="N335" s="47">
        <f ca="1">N338+N341</f>
        <v>0</v>
      </c>
      <c r="O335" s="47">
        <f ca="1">IF(L335&gt;0,N335*100/L335,0)</f>
        <v>0</v>
      </c>
      <c r="P335" s="47">
        <f ca="1">IF(M335&gt;0,N335*100/M335,0)</f>
        <v>0</v>
      </c>
    </row>
    <row r="336" spans="1:16" ht="18.75" x14ac:dyDescent="0.25">
      <c r="A336" s="136"/>
      <c r="B336" s="41"/>
      <c r="C336" s="41"/>
      <c r="D336" s="42" t="s">
        <v>20</v>
      </c>
      <c r="E336" s="41"/>
      <c r="F336" s="41"/>
      <c r="G336" s="43"/>
      <c r="H336" s="143" t="s">
        <v>12</v>
      </c>
      <c r="I336" s="144"/>
      <c r="J336" s="144"/>
      <c r="K336" s="145"/>
      <c r="L336" s="47">
        <f ca="1">L337+L338</f>
        <v>110000</v>
      </c>
      <c r="M336" s="47">
        <f ca="1">M337+M338</f>
        <v>85750</v>
      </c>
      <c r="N336" s="47">
        <f ca="1">N337+N338</f>
        <v>0</v>
      </c>
      <c r="O336" s="47">
        <f ca="1">IF(L336&gt;0,N336*100/L336,0)</f>
        <v>0</v>
      </c>
      <c r="P336" s="47">
        <f ca="1">IF(M336&gt;0,N336*100/M336,0)</f>
        <v>0</v>
      </c>
    </row>
    <row r="337" spans="1:16" ht="18.75" hidden="1" x14ac:dyDescent="0.25">
      <c r="A337" s="136"/>
      <c r="B337" s="41"/>
      <c r="C337" s="41"/>
      <c r="D337" s="41"/>
      <c r="E337" s="279" t="s">
        <v>34</v>
      </c>
      <c r="F337" s="41"/>
      <c r="G337" s="43"/>
      <c r="H337" s="146" t="s">
        <v>12</v>
      </c>
      <c r="I337" s="144"/>
      <c r="J337" s="144"/>
      <c r="K337" s="145"/>
      <c r="L337" s="50">
        <v>0</v>
      </c>
      <c r="M337" s="50">
        <v>0</v>
      </c>
      <c r="N337" s="50">
        <v>0</v>
      </c>
      <c r="O337" s="50">
        <f>IF(L337&gt;0,N337*100/L337,0)</f>
        <v>0</v>
      </c>
      <c r="P337" s="50">
        <f>IF(M337&gt;0,N337*100/M337,0)</f>
        <v>0</v>
      </c>
    </row>
    <row r="338" spans="1:16" ht="18.75" x14ac:dyDescent="0.25">
      <c r="A338" s="136"/>
      <c r="B338" s="41"/>
      <c r="C338" s="41"/>
      <c r="D338" s="41"/>
      <c r="E338" s="254" t="s">
        <v>35</v>
      </c>
      <c r="F338" s="41"/>
      <c r="G338" s="43"/>
      <c r="H338" s="143" t="s">
        <v>12</v>
      </c>
      <c r="I338" s="144"/>
      <c r="J338" s="144"/>
      <c r="K338" s="145"/>
      <c r="L338" s="47">
        <f ca="1">IFERROR(__xludf.DUMMYFUNCTION("IMPORTRANGE(""https://docs.google.com/spreadsheets/d/1-uDff_7J0KD5mKrp0Vvzr7lt3OU09vwQwhkpOPPYv2Y/edit?usp=sharing"",""งบพรบ!ES22"")"),110000)</f>
        <v>110000</v>
      </c>
      <c r="M338" s="47">
        <f ca="1">IFERROR(__xludf.DUMMYFUNCTION("IMPORTRANGE(""https://docs.google.com/spreadsheets/d/1-uDff_7J0KD5mKrp0Vvzr7lt3OU09vwQwhkpOPPYv2Y/edit?usp=sharing"",""งบพรบ!EX22"")"),85750)</f>
        <v>85750</v>
      </c>
      <c r="N338" s="47">
        <f ca="1">IFERROR(__xludf.DUMMYFUNCTION("IMPORTRANGE(""https://docs.google.com/spreadsheets/d/1-uDff_7J0KD5mKrp0Vvzr7lt3OU09vwQwhkpOPPYv2Y/edit?usp=sharing"",""งบพรบ!EZ22"")"),0)</f>
        <v>0</v>
      </c>
      <c r="O338" s="47">
        <f ca="1">IF(L338&gt;0,N338*100/L338,0)</f>
        <v>0</v>
      </c>
      <c r="P338" s="47">
        <f ca="1">IF(M338&gt;0,N338*100/M338,0)</f>
        <v>0</v>
      </c>
    </row>
    <row r="339" spans="1:16" ht="18.75" x14ac:dyDescent="0.25">
      <c r="A339" s="136"/>
      <c r="B339" s="41"/>
      <c r="C339" s="41"/>
      <c r="D339" s="42" t="s">
        <v>21</v>
      </c>
      <c r="E339" s="41"/>
      <c r="F339" s="41"/>
      <c r="G339" s="43"/>
      <c r="H339" s="147" t="s">
        <v>12</v>
      </c>
      <c r="I339" s="144"/>
      <c r="J339" s="144"/>
      <c r="K339" s="145"/>
      <c r="L339" s="47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</row>
    <row r="340" spans="1:16" ht="18.75" hidden="1" x14ac:dyDescent="0.25">
      <c r="A340" s="136"/>
      <c r="B340" s="41"/>
      <c r="C340" s="41"/>
      <c r="D340" s="41"/>
      <c r="E340" s="279" t="s">
        <v>18</v>
      </c>
      <c r="F340" s="41"/>
      <c r="G340" s="43"/>
      <c r="H340" s="146" t="s">
        <v>12</v>
      </c>
      <c r="I340" s="144"/>
      <c r="J340" s="144"/>
      <c r="K340" s="145"/>
      <c r="L340" s="50">
        <v>0</v>
      </c>
      <c r="M340" s="50">
        <v>0</v>
      </c>
      <c r="N340" s="50">
        <v>0</v>
      </c>
      <c r="O340" s="50">
        <f>IF(L340&gt;0,N340*100/L340,0)</f>
        <v>0</v>
      </c>
      <c r="P340" s="50">
        <f>IF(M340&gt;0,N340*100/M340,0)</f>
        <v>0</v>
      </c>
    </row>
    <row r="341" spans="1:16" ht="18.75" x14ac:dyDescent="0.25">
      <c r="A341" s="136"/>
      <c r="B341" s="41"/>
      <c r="C341" s="41"/>
      <c r="D341" s="41"/>
      <c r="E341" s="254" t="s">
        <v>19</v>
      </c>
      <c r="F341" s="41"/>
      <c r="G341" s="43"/>
      <c r="H341" s="147" t="s">
        <v>12</v>
      </c>
      <c r="I341" s="144"/>
      <c r="J341" s="144"/>
      <c r="K341" s="145"/>
      <c r="L341" s="47">
        <f ca="1">IFERROR(__xludf.DUMMYFUNCTION("IMPORTRANGE(""https://docs.google.com/spreadsheets/d/1-uDff_7J0KD5mKrp0Vvzr7lt3OU09vwQwhkpOPPYv2Y/edit?usp=sharing"",""งบพรบ!EV22"")"),0)</f>
        <v>0</v>
      </c>
      <c r="M341" s="47">
        <f ca="1">IFERROR(__xludf.DUMMYFUNCTION("IMPORTRANGE(""https://docs.google.com/spreadsheets/d/1-uDff_7J0KD5mKrp0Vvzr7lt3OU09vwQwhkpOPPYv2Y/edit?usp=sharing"",""งบพรบ!EY22"")"),0)</f>
        <v>0</v>
      </c>
      <c r="N341" s="47">
        <f ca="1">IFERROR(__xludf.DUMMYFUNCTION("IMPORTRANGE(""https://docs.google.com/spreadsheets/d/1-uDff_7J0KD5mKrp0Vvzr7lt3OU09vwQwhkpOPPYv2Y/edit?usp=sharing"",""งบพรบ!FA22"")"),0)</f>
        <v>0</v>
      </c>
      <c r="O341" s="47">
        <f ca="1">IF(L341&gt;0,N341*100/L341,0)</f>
        <v>0</v>
      </c>
      <c r="P341" s="47">
        <f ca="1">IF(M341&gt;0,N341*100/M341,0)</f>
        <v>0</v>
      </c>
    </row>
    <row r="342" spans="1:16" ht="19.5" x14ac:dyDescent="0.3">
      <c r="A342" s="148"/>
      <c r="B342" s="149"/>
      <c r="C342" s="197" t="s">
        <v>16</v>
      </c>
      <c r="D342" s="221" t="s">
        <v>36</v>
      </c>
      <c r="E342" s="151"/>
      <c r="F342" s="151"/>
      <c r="G342" s="152"/>
      <c r="H342" s="43"/>
      <c r="I342" s="45"/>
      <c r="J342" s="45"/>
      <c r="K342" s="46"/>
      <c r="L342" s="46"/>
      <c r="M342" s="46"/>
      <c r="N342" s="46"/>
      <c r="O342" s="145"/>
      <c r="P342" s="145"/>
    </row>
    <row r="343" spans="1:16" ht="19.5" x14ac:dyDescent="0.3">
      <c r="A343" s="337"/>
      <c r="B343" s="338"/>
      <c r="C343" s="339"/>
      <c r="D343" s="338"/>
      <c r="E343" s="398" t="s">
        <v>131</v>
      </c>
      <c r="F343" s="338"/>
      <c r="G343" s="341"/>
      <c r="H343" s="342" t="s">
        <v>33</v>
      </c>
      <c r="I343" s="343">
        <v>0</v>
      </c>
      <c r="J343" s="343">
        <f ca="1">J344+J347+J348+J349</f>
        <v>403</v>
      </c>
      <c r="K343" s="344">
        <v>0</v>
      </c>
      <c r="L343" s="345"/>
      <c r="M343" s="345"/>
      <c r="N343" s="345"/>
      <c r="O343" s="345"/>
      <c r="P343" s="345"/>
    </row>
    <row r="344" spans="1:16" ht="18.75" x14ac:dyDescent="0.25">
      <c r="A344" s="227"/>
      <c r="B344" s="41"/>
      <c r="C344" s="228"/>
      <c r="D344" s="155"/>
      <c r="E344" s="159" t="s">
        <v>132</v>
      </c>
      <c r="F344" s="41"/>
      <c r="G344" s="43"/>
      <c r="H344" s="230" t="s">
        <v>33</v>
      </c>
      <c r="I344" s="169">
        <f ca="1">IFERROR(__xludf.DUMMYFUNCTION("IMPORTRANGE(""https://docs.google.com/spreadsheets/d/1eHaY18a8A9IcSdp1K8H6x8fbOy06t2VsZHhMHf-1x7Y/edit?usp=sharing"",""แผน!EK22"")"),1060)</f>
        <v>1060</v>
      </c>
      <c r="J344" s="169">
        <f ca="1">IFERROR(__xludf.DUMMYFUNCTION("IMPORTRANGE(""https://docs.google.com/spreadsheets/d/1awYsYK3VOup2i3Pq_Yjnu8DRu_mYwSBnCR2QPthd0rU/edit?usp=sharing"",""ศูนย์ยกเว้นโฉนด!D22"")"),330)</f>
        <v>330</v>
      </c>
      <c r="K344" s="47">
        <f ca="1">IF(I344&gt;0,J344*100/I344,0)</f>
        <v>31.132075471698112</v>
      </c>
      <c r="L344" s="46"/>
      <c r="M344" s="46"/>
      <c r="N344" s="46"/>
      <c r="O344" s="46"/>
      <c r="P344" s="46"/>
    </row>
    <row r="345" spans="1:16" ht="18.75" x14ac:dyDescent="0.25">
      <c r="A345" s="227"/>
      <c r="B345" s="41"/>
      <c r="C345" s="228"/>
      <c r="D345" s="155"/>
      <c r="E345" s="159" t="s">
        <v>133</v>
      </c>
      <c r="F345" s="41"/>
      <c r="G345" s="43"/>
      <c r="H345" s="346"/>
      <c r="I345" s="45"/>
      <c r="J345" s="45"/>
      <c r="K345" s="46"/>
      <c r="L345" s="46"/>
      <c r="M345" s="46"/>
      <c r="N345" s="46"/>
      <c r="O345" s="46"/>
      <c r="P345" s="46"/>
    </row>
    <row r="346" spans="1:16" ht="18.75" x14ac:dyDescent="0.25">
      <c r="A346" s="227"/>
      <c r="B346" s="41"/>
      <c r="C346" s="228"/>
      <c r="D346" s="155"/>
      <c r="E346" s="155"/>
      <c r="F346" s="159" t="s">
        <v>134</v>
      </c>
      <c r="G346" s="43"/>
      <c r="H346" s="347" t="s">
        <v>135</v>
      </c>
      <c r="I346" s="169">
        <f ca="1">IFERROR(__xludf.DUMMYFUNCTION("IMPORTRANGE(""https://docs.google.com/spreadsheets/d/1eHaY18a8A9IcSdp1K8H6x8fbOy06t2VsZHhMHf-1x7Y/edit?usp=sharing"",""แผน!EL22"")"),5)</f>
        <v>5</v>
      </c>
      <c r="J346" s="169">
        <f ca="1">IFERROR(__xludf.DUMMYFUNCTION("IMPORTRANGE(""https://docs.google.com/spreadsheets/d/1awYsYK3VOup2i3Pq_Yjnu8DRu_mYwSBnCR2QPthd0rU/edit?usp=sharing"",""ศูนย์รวม!E22"")"),4)</f>
        <v>4</v>
      </c>
      <c r="K346" s="47">
        <f ca="1">IF(I346&gt;0,J346*100/I346,0)</f>
        <v>80</v>
      </c>
      <c r="L346" s="46"/>
      <c r="M346" s="46"/>
      <c r="N346" s="46"/>
      <c r="O346" s="46"/>
      <c r="P346" s="46"/>
    </row>
    <row r="347" spans="1:16" ht="18.75" x14ac:dyDescent="0.25">
      <c r="A347" s="227"/>
      <c r="B347" s="41"/>
      <c r="C347" s="228"/>
      <c r="D347" s="155"/>
      <c r="E347" s="155"/>
      <c r="F347" s="159" t="s">
        <v>136</v>
      </c>
      <c r="G347" s="43"/>
      <c r="H347" s="347" t="s">
        <v>33</v>
      </c>
      <c r="I347" s="45"/>
      <c r="J347" s="169">
        <f ca="1">IFERROR(__xludf.DUMMYFUNCTION("IMPORTRANGE(""https://docs.google.com/spreadsheets/d/1awYsYK3VOup2i3Pq_Yjnu8DRu_mYwSBnCR2QPthd0rU/edit?usp=sharing"",""ศูนย์ยกเว้นโฉนด!F22"")"),69)</f>
        <v>69</v>
      </c>
      <c r="K347" s="46"/>
      <c r="L347" s="46"/>
      <c r="M347" s="46"/>
      <c r="N347" s="46"/>
      <c r="O347" s="46"/>
      <c r="P347" s="46"/>
    </row>
    <row r="348" spans="1:16" ht="18.75" x14ac:dyDescent="0.25">
      <c r="A348" s="227"/>
      <c r="B348" s="41"/>
      <c r="C348" s="228"/>
      <c r="D348" s="155"/>
      <c r="E348" s="159" t="s">
        <v>137</v>
      </c>
      <c r="F348" s="155"/>
      <c r="G348" s="43"/>
      <c r="H348" s="347" t="s">
        <v>33</v>
      </c>
      <c r="I348" s="45"/>
      <c r="J348" s="169">
        <f ca="1">IFERROR(__xludf.DUMMYFUNCTION("IMPORTRANGE(""https://docs.google.com/spreadsheets/d/1awYsYK3VOup2i3Pq_Yjnu8DRu_mYwSBnCR2QPthd0rU/edit?usp=sharing"",""ศูนย์ยกเว้นโฉนด!G22"")"),2)</f>
        <v>2</v>
      </c>
      <c r="K348" s="46"/>
      <c r="L348" s="46"/>
      <c r="M348" s="46"/>
      <c r="N348" s="46"/>
      <c r="O348" s="46"/>
      <c r="P348" s="46"/>
    </row>
    <row r="349" spans="1:16" ht="18.75" x14ac:dyDescent="0.25">
      <c r="A349" s="227"/>
      <c r="B349" s="41"/>
      <c r="C349" s="228"/>
      <c r="D349" s="149"/>
      <c r="E349" s="159" t="s">
        <v>138</v>
      </c>
      <c r="F349" s="155"/>
      <c r="G349" s="43"/>
      <c r="H349" s="347" t="s">
        <v>33</v>
      </c>
      <c r="I349" s="45"/>
      <c r="J349" s="169">
        <f ca="1">IFERROR(__xludf.DUMMYFUNCTION("IMPORTRANGE(""https://docs.google.com/spreadsheets/d/1awYsYK3VOup2i3Pq_Yjnu8DRu_mYwSBnCR2QPthd0rU/edit?usp=sharing"",""ศูนย์ยกเว้นโฉนด!H22"")"),2)</f>
        <v>2</v>
      </c>
      <c r="K349" s="46"/>
      <c r="L349" s="46"/>
      <c r="M349" s="46"/>
      <c r="N349" s="46"/>
      <c r="O349" s="46"/>
      <c r="P349" s="46"/>
    </row>
    <row r="350" spans="1:16" ht="16.5" x14ac:dyDescent="0.25">
      <c r="A350" s="228"/>
      <c r="B350" s="41"/>
      <c r="C350" s="228"/>
      <c r="D350" s="34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1"/>
      <c r="F350" s="41"/>
      <c r="G350" s="43"/>
      <c r="H350" s="346"/>
      <c r="I350" s="45"/>
      <c r="J350" s="45"/>
      <c r="K350" s="46"/>
      <c r="L350" s="46"/>
      <c r="M350" s="46"/>
      <c r="N350" s="46"/>
      <c r="O350" s="46"/>
      <c r="P350" s="46"/>
    </row>
    <row r="351" spans="1:16" ht="19.5" x14ac:dyDescent="0.3">
      <c r="A351" s="233"/>
      <c r="B351" s="236"/>
      <c r="C351" s="234"/>
      <c r="D351" s="236"/>
      <c r="E351" s="396" t="s">
        <v>139</v>
      </c>
      <c r="F351" s="236"/>
      <c r="G351" s="237"/>
      <c r="H351" s="238" t="s">
        <v>33</v>
      </c>
      <c r="I351" s="239">
        <v>0</v>
      </c>
      <c r="J351" s="239">
        <f ca="1">J352+J353</f>
        <v>575</v>
      </c>
      <c r="K351" s="240">
        <v>0</v>
      </c>
      <c r="L351" s="241"/>
      <c r="M351" s="241"/>
      <c r="N351" s="241"/>
      <c r="O351" s="241"/>
      <c r="P351" s="241"/>
    </row>
    <row r="352" spans="1:16" ht="18.75" x14ac:dyDescent="0.25">
      <c r="A352" s="228"/>
      <c r="B352" s="41"/>
      <c r="C352" s="228"/>
      <c r="D352" s="155"/>
      <c r="E352" s="159" t="s">
        <v>140</v>
      </c>
      <c r="F352" s="41"/>
      <c r="G352" s="43"/>
      <c r="H352" s="142" t="s">
        <v>33</v>
      </c>
      <c r="I352" s="45"/>
      <c r="J352" s="169">
        <f ca="1">IFERROR(__xludf.DUMMYFUNCTION("IMPORTRANGE(""https://docs.google.com/spreadsheets/d/1awYsYK3VOup2i3Pq_Yjnu8DRu_mYwSBnCR2QPthd0rU/edit?usp=sharing"",""โฉนดM3!G22"")"),147)</f>
        <v>147</v>
      </c>
      <c r="K352" s="46"/>
      <c r="L352" s="46"/>
      <c r="M352" s="46"/>
      <c r="N352" s="46"/>
      <c r="O352" s="46"/>
      <c r="P352" s="46"/>
    </row>
    <row r="353" spans="1:16" ht="18.75" x14ac:dyDescent="0.25">
      <c r="A353" s="228"/>
      <c r="B353" s="41"/>
      <c r="C353" s="228"/>
      <c r="D353" s="155"/>
      <c r="E353" s="159" t="s">
        <v>141</v>
      </c>
      <c r="F353" s="41"/>
      <c r="G353" s="43"/>
      <c r="H353" s="142" t="s">
        <v>33</v>
      </c>
      <c r="I353" s="45"/>
      <c r="J353" s="169">
        <f ca="1">IFERROR(__xludf.DUMMYFUNCTION("IMPORTRANGE(""https://docs.google.com/spreadsheets/d/1awYsYK3VOup2i3Pq_Yjnu8DRu_mYwSBnCR2QPthd0rU/edit?usp=sharing"",""โฉนดM3!H22"")"),428)</f>
        <v>428</v>
      </c>
      <c r="K353" s="46"/>
      <c r="L353" s="46"/>
      <c r="M353" s="46"/>
      <c r="N353" s="46"/>
      <c r="O353" s="46"/>
      <c r="P353" s="46"/>
    </row>
    <row r="354" spans="1:16" ht="16.5" x14ac:dyDescent="0.25">
      <c r="A354" s="228"/>
      <c r="B354" s="41"/>
      <c r="C354" s="228"/>
      <c r="D354" s="34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1"/>
      <c r="F354" s="41"/>
      <c r="G354" s="43"/>
      <c r="H354" s="346"/>
      <c r="I354" s="45"/>
      <c r="J354" s="45"/>
      <c r="K354" s="46"/>
      <c r="L354" s="46"/>
      <c r="M354" s="46"/>
      <c r="N354" s="46"/>
      <c r="O354" s="46"/>
      <c r="P354" s="46"/>
    </row>
    <row r="355" spans="1:16" ht="19.5" x14ac:dyDescent="0.3">
      <c r="A355" s="323"/>
      <c r="B355" s="324" t="s">
        <v>142</v>
      </c>
      <c r="C355" s="333"/>
      <c r="D355" s="325"/>
      <c r="E355" s="325"/>
      <c r="F355" s="325"/>
      <c r="G355" s="326"/>
      <c r="H355" s="326"/>
      <c r="I355" s="350"/>
      <c r="J355" s="350"/>
      <c r="K355" s="330"/>
      <c r="L355" s="330"/>
      <c r="M355" s="330"/>
      <c r="N355" s="330"/>
      <c r="O355" s="330"/>
      <c r="P355" s="330"/>
    </row>
    <row r="356" spans="1:16" ht="19.5" x14ac:dyDescent="0.3">
      <c r="A356" s="136"/>
      <c r="B356" s="41"/>
      <c r="C356" s="197" t="s">
        <v>16</v>
      </c>
      <c r="D356" s="397" t="s">
        <v>17</v>
      </c>
      <c r="E356" s="41"/>
      <c r="F356" s="41"/>
      <c r="G356" s="43"/>
      <c r="H356" s="139" t="s">
        <v>12</v>
      </c>
      <c r="I356" s="45"/>
      <c r="J356" s="45"/>
      <c r="K356" s="46"/>
      <c r="L356" s="140">
        <f ca="1">L357+L358</f>
        <v>405005</v>
      </c>
      <c r="M356" s="140">
        <f ca="1">M357+M358</f>
        <v>326405</v>
      </c>
      <c r="N356" s="140">
        <f ca="1">N357+N358</f>
        <v>32476</v>
      </c>
      <c r="O356" s="140">
        <f ca="1">IF(L356&gt;0,N356*100/L356,0)</f>
        <v>8.0186664362168365</v>
      </c>
      <c r="P356" s="140">
        <f ca="1">IF(M356&gt;0,N356*100/M356,0)</f>
        <v>9.94960248770699</v>
      </c>
    </row>
    <row r="357" spans="1:16" ht="18.75" hidden="1" x14ac:dyDescent="0.25">
      <c r="A357" s="136"/>
      <c r="B357" s="41"/>
      <c r="C357" s="41"/>
      <c r="D357" s="41"/>
      <c r="E357" s="279" t="s">
        <v>18</v>
      </c>
      <c r="F357" s="41"/>
      <c r="G357" s="43"/>
      <c r="H357" s="141" t="s">
        <v>12</v>
      </c>
      <c r="I357" s="45"/>
      <c r="J357" s="45"/>
      <c r="K357" s="46"/>
      <c r="L357" s="50">
        <f>L360+L363</f>
        <v>0</v>
      </c>
      <c r="M357" s="50">
        <f>M360+M363</f>
        <v>0</v>
      </c>
      <c r="N357" s="50">
        <f>N360+N363</f>
        <v>0</v>
      </c>
      <c r="O357" s="50">
        <f>IF(L357&gt;0,N357*100/L357,0)</f>
        <v>0</v>
      </c>
      <c r="P357" s="50">
        <f>IF(M357&gt;0,N357*100/M357,0)</f>
        <v>0</v>
      </c>
    </row>
    <row r="358" spans="1:16" ht="18.75" x14ac:dyDescent="0.25">
      <c r="A358" s="136"/>
      <c r="B358" s="41"/>
      <c r="C358" s="41"/>
      <c r="D358" s="41"/>
      <c r="E358" s="254" t="s">
        <v>19</v>
      </c>
      <c r="F358" s="41"/>
      <c r="G358" s="43"/>
      <c r="H358" s="142" t="s">
        <v>12</v>
      </c>
      <c r="I358" s="45"/>
      <c r="J358" s="45"/>
      <c r="K358" s="46"/>
      <c r="L358" s="47">
        <f ca="1">L361+L364</f>
        <v>405005</v>
      </c>
      <c r="M358" s="47">
        <f ca="1">M361+M364</f>
        <v>326405</v>
      </c>
      <c r="N358" s="47">
        <f ca="1">N361+N364</f>
        <v>32476</v>
      </c>
      <c r="O358" s="47">
        <f ca="1">IF(L358&gt;0,N358*100/L358,0)</f>
        <v>8.0186664362168365</v>
      </c>
      <c r="P358" s="47">
        <f ca="1">IF(M358&gt;0,N358*100/M358,0)</f>
        <v>9.94960248770699</v>
      </c>
    </row>
    <row r="359" spans="1:16" ht="18.75" x14ac:dyDescent="0.25">
      <c r="A359" s="136"/>
      <c r="B359" s="41"/>
      <c r="C359" s="41"/>
      <c r="D359" s="42" t="s">
        <v>20</v>
      </c>
      <c r="E359" s="41"/>
      <c r="F359" s="41"/>
      <c r="G359" s="43"/>
      <c r="H359" s="143" t="s">
        <v>12</v>
      </c>
      <c r="I359" s="144"/>
      <c r="J359" s="144"/>
      <c r="K359" s="145"/>
      <c r="L359" s="47">
        <f ca="1">L360+L361</f>
        <v>405005</v>
      </c>
      <c r="M359" s="47">
        <f ca="1">M360+M361</f>
        <v>326405</v>
      </c>
      <c r="N359" s="47">
        <f ca="1">N360+N361</f>
        <v>32476</v>
      </c>
      <c r="O359" s="47">
        <f ca="1">IF(L359&gt;0,N359*100/L359,0)</f>
        <v>8.0186664362168365</v>
      </c>
      <c r="P359" s="47">
        <f ca="1">IF(M359&gt;0,N359*100/M359,0)</f>
        <v>9.94960248770699</v>
      </c>
    </row>
    <row r="360" spans="1:16" ht="18.75" hidden="1" x14ac:dyDescent="0.25">
      <c r="A360" s="136"/>
      <c r="B360" s="41"/>
      <c r="C360" s="41"/>
      <c r="D360" s="41"/>
      <c r="E360" s="279" t="s">
        <v>34</v>
      </c>
      <c r="F360" s="41"/>
      <c r="G360" s="43"/>
      <c r="H360" s="146" t="s">
        <v>12</v>
      </c>
      <c r="I360" s="144"/>
      <c r="J360" s="144"/>
      <c r="K360" s="145"/>
      <c r="L360" s="50">
        <v>0</v>
      </c>
      <c r="M360" s="50">
        <v>0</v>
      </c>
      <c r="N360" s="50">
        <v>0</v>
      </c>
      <c r="O360" s="50">
        <f>IF(L360&gt;0,N360*100/L360,0)</f>
        <v>0</v>
      </c>
      <c r="P360" s="50">
        <f>IF(M360&gt;0,N360*100/M360,0)</f>
        <v>0</v>
      </c>
    </row>
    <row r="361" spans="1:16" ht="18.75" x14ac:dyDescent="0.25">
      <c r="A361" s="136"/>
      <c r="B361" s="41"/>
      <c r="C361" s="41"/>
      <c r="D361" s="41"/>
      <c r="E361" s="254" t="s">
        <v>35</v>
      </c>
      <c r="F361" s="41"/>
      <c r="G361" s="43"/>
      <c r="H361" s="143" t="s">
        <v>12</v>
      </c>
      <c r="I361" s="144"/>
      <c r="J361" s="144"/>
      <c r="K361" s="145"/>
      <c r="L361" s="47">
        <f ca="1">IFERROR(__xludf.DUMMYFUNCTION("IMPORTRANGE(""https://docs.google.com/spreadsheets/d/1-uDff_7J0KD5mKrp0Vvzr7lt3OU09vwQwhkpOPPYv2Y/edit?usp=sharing"",""งบพรบ!FC22"")"),405005)</f>
        <v>405005</v>
      </c>
      <c r="M361" s="47">
        <f ca="1">IFERROR(__xludf.DUMMYFUNCTION("IMPORTRANGE(""https://docs.google.com/spreadsheets/d/1-uDff_7J0KD5mKrp0Vvzr7lt3OU09vwQwhkpOPPYv2Y/edit?usp=sharing"",""งบพรบ!FH22"")"),326405)</f>
        <v>326405</v>
      </c>
      <c r="N361" s="47">
        <f ca="1">IFERROR(__xludf.DUMMYFUNCTION("IMPORTRANGE(""https://docs.google.com/spreadsheets/d/1-uDff_7J0KD5mKrp0Vvzr7lt3OU09vwQwhkpOPPYv2Y/edit?usp=sharing"",""งบพรบ!FJ22"")"),32476)</f>
        <v>32476</v>
      </c>
      <c r="O361" s="47">
        <f ca="1">IF(L361&gt;0,N361*100/L361,0)</f>
        <v>8.0186664362168365</v>
      </c>
      <c r="P361" s="47">
        <f ca="1">IF(M361&gt;0,N361*100/M361,0)</f>
        <v>9.94960248770699</v>
      </c>
    </row>
    <row r="362" spans="1:16" ht="18.75" x14ac:dyDescent="0.25">
      <c r="A362" s="136"/>
      <c r="B362" s="41"/>
      <c r="C362" s="41"/>
      <c r="D362" s="42" t="s">
        <v>21</v>
      </c>
      <c r="E362" s="41"/>
      <c r="F362" s="41"/>
      <c r="G362" s="43"/>
      <c r="H362" s="147" t="s">
        <v>12</v>
      </c>
      <c r="I362" s="144"/>
      <c r="J362" s="144"/>
      <c r="K362" s="145"/>
      <c r="L362" s="47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</row>
    <row r="363" spans="1:16" ht="18.75" hidden="1" x14ac:dyDescent="0.25">
      <c r="A363" s="136"/>
      <c r="B363" s="41"/>
      <c r="C363" s="41"/>
      <c r="D363" s="41"/>
      <c r="E363" s="279" t="s">
        <v>18</v>
      </c>
      <c r="F363" s="41"/>
      <c r="G363" s="43"/>
      <c r="H363" s="146" t="s">
        <v>12</v>
      </c>
      <c r="I363" s="144"/>
      <c r="J363" s="144"/>
      <c r="K363" s="145"/>
      <c r="L363" s="50">
        <v>0</v>
      </c>
      <c r="M363" s="50">
        <v>0</v>
      </c>
      <c r="N363" s="50">
        <v>0</v>
      </c>
      <c r="O363" s="50">
        <f>IF(L363&gt;0,N363*100/L363,0)</f>
        <v>0</v>
      </c>
      <c r="P363" s="50">
        <f>IF(M363&gt;0,N363*100/M363,0)</f>
        <v>0</v>
      </c>
    </row>
    <row r="364" spans="1:16" ht="18.75" x14ac:dyDescent="0.25">
      <c r="A364" s="136"/>
      <c r="B364" s="41"/>
      <c r="C364" s="41"/>
      <c r="D364" s="41"/>
      <c r="E364" s="254" t="s">
        <v>19</v>
      </c>
      <c r="F364" s="41"/>
      <c r="G364" s="43"/>
      <c r="H364" s="147" t="s">
        <v>12</v>
      </c>
      <c r="I364" s="144"/>
      <c r="J364" s="144"/>
      <c r="K364" s="145"/>
      <c r="L364" s="47">
        <f ca="1">IFERROR(__xludf.DUMMYFUNCTION("IMPORTRANGE(""https://docs.google.com/spreadsheets/d/1-uDff_7J0KD5mKrp0Vvzr7lt3OU09vwQwhkpOPPYv2Y/edit?usp=sharing"",""งบพรบ!FF22"")"),0)</f>
        <v>0</v>
      </c>
      <c r="M364" s="47">
        <f ca="1">IFERROR(__xludf.DUMMYFUNCTION("IMPORTRANGE(""https://docs.google.com/spreadsheets/d/1-uDff_7J0KD5mKrp0Vvzr7lt3OU09vwQwhkpOPPYv2Y/edit?usp=sharing"",""งบพรบ!FI22"")"),0)</f>
        <v>0</v>
      </c>
      <c r="N364" s="47">
        <f ca="1">IFERROR(__xludf.DUMMYFUNCTION("IMPORTRANGE(""https://docs.google.com/spreadsheets/d/1-uDff_7J0KD5mKrp0Vvzr7lt3OU09vwQwhkpOPPYv2Y/edit?usp=sharing"",""งบพรบ!FK22"")"),0)</f>
        <v>0</v>
      </c>
      <c r="O364" s="47">
        <f ca="1">IF(L364&gt;0,N364*100/L364,0)</f>
        <v>0</v>
      </c>
      <c r="P364" s="47">
        <f ca="1">IF(M364&gt;0,N364*100/M364,0)</f>
        <v>0</v>
      </c>
    </row>
    <row r="365" spans="1:16" ht="19.5" x14ac:dyDescent="0.3">
      <c r="A365" s="233"/>
      <c r="B365" s="234"/>
      <c r="C365" s="236"/>
      <c r="D365" s="396" t="s">
        <v>143</v>
      </c>
      <c r="E365" s="236"/>
      <c r="F365" s="236"/>
      <c r="G365" s="237"/>
      <c r="H365" s="245" t="s">
        <v>33</v>
      </c>
      <c r="I365" s="239">
        <f ca="1">I371</f>
        <v>101</v>
      </c>
      <c r="J365" s="239">
        <f ca="1">J371</f>
        <v>0</v>
      </c>
      <c r="K365" s="240">
        <f ca="1">IF(I365&gt;0,J365*100/I365,0)</f>
        <v>0</v>
      </c>
      <c r="L365" s="241"/>
      <c r="M365" s="241"/>
      <c r="N365" s="241"/>
      <c r="O365" s="241"/>
      <c r="P365" s="241"/>
    </row>
    <row r="366" spans="1:16" ht="19.5" x14ac:dyDescent="0.3">
      <c r="A366" s="148"/>
      <c r="B366" s="149"/>
      <c r="C366" s="197" t="s">
        <v>16</v>
      </c>
      <c r="D366" s="395" t="s">
        <v>36</v>
      </c>
      <c r="E366" s="151"/>
      <c r="F366" s="151"/>
      <c r="G366" s="152"/>
      <c r="H366" s="153"/>
      <c r="I366" s="45"/>
      <c r="J366" s="45"/>
      <c r="K366" s="46"/>
      <c r="L366" s="145"/>
      <c r="M366" s="145"/>
      <c r="N366" s="145"/>
      <c r="O366" s="145"/>
      <c r="P366" s="145"/>
    </row>
    <row r="367" spans="1:16" ht="18.75" x14ac:dyDescent="0.25">
      <c r="A367" s="148"/>
      <c r="B367" s="155"/>
      <c r="C367" s="149"/>
      <c r="D367" s="155"/>
      <c r="E367" s="154" t="s">
        <v>144</v>
      </c>
      <c r="F367" s="155"/>
      <c r="G367" s="153"/>
      <c r="H367" s="164" t="s">
        <v>33</v>
      </c>
      <c r="I367" s="169">
        <v>0</v>
      </c>
      <c r="J367" s="169">
        <f ca="1">IFERROR(__xludf.DUMMYFUNCTION("IMPORTRANGE(""https://docs.google.com/spreadsheets/d/1tdoBKaGub7dwA3U6UFTqxio9LNnvDCQjHKmttSEBsFQ/edit?usp=sharing"",""จัดที่ดิน!AB22"")"),1)</f>
        <v>1</v>
      </c>
      <c r="K367" s="47">
        <f>IF(I367&gt;0,J367*100/I367,0)</f>
        <v>0</v>
      </c>
      <c r="L367" s="145"/>
      <c r="M367" s="145"/>
      <c r="N367" s="145"/>
      <c r="O367" s="145"/>
      <c r="P367" s="145"/>
    </row>
    <row r="368" spans="1:16" ht="18.75" x14ac:dyDescent="0.25">
      <c r="A368" s="148"/>
      <c r="B368" s="155"/>
      <c r="C368" s="149"/>
      <c r="D368" s="155"/>
      <c r="E368" s="155"/>
      <c r="F368" s="155"/>
      <c r="G368" s="153"/>
      <c r="H368" s="164" t="s">
        <v>44</v>
      </c>
      <c r="I368" s="169">
        <f ca="1">IFERROR(__xludf.DUMMYFUNCTION("IMPORTRANGE(""https://docs.google.com/spreadsheets/d/1eHaY18a8A9IcSdp1K8H6x8fbOy06t2VsZHhMHf-1x7Y/edit?usp=sharing"",""แผน!EW22"")"),1010)</f>
        <v>1010</v>
      </c>
      <c r="J368" s="351">
        <f ca="1">IFERROR(__xludf.DUMMYFUNCTION("IMPORTRANGE(""https://docs.google.com/spreadsheets/d/1tdoBKaGub7dwA3U6UFTqxio9LNnvDCQjHKmttSEBsFQ/edit?usp=sharing"",""จัดที่ดิน!AC22"")"),1.34)</f>
        <v>1.34</v>
      </c>
      <c r="K368" s="47">
        <f ca="1">IF(I368&gt;0,J368*100/I368,0)</f>
        <v>0.13267326732673268</v>
      </c>
      <c r="L368" s="145"/>
      <c r="M368" s="145"/>
      <c r="N368" s="145"/>
      <c r="O368" s="145"/>
      <c r="P368" s="145"/>
    </row>
    <row r="369" spans="1:16" ht="18.75" x14ac:dyDescent="0.25">
      <c r="A369" s="148"/>
      <c r="B369" s="155"/>
      <c r="C369" s="149"/>
      <c r="D369" s="155"/>
      <c r="E369" s="154" t="s">
        <v>145</v>
      </c>
      <c r="F369" s="155"/>
      <c r="G369" s="153"/>
      <c r="H369" s="251" t="s">
        <v>33</v>
      </c>
      <c r="I369" s="169">
        <f ca="1">IFERROR(__xludf.DUMMYFUNCTION("IMPORTRANGE(""https://docs.google.com/spreadsheets/d/1eHaY18a8A9IcSdp1K8H6x8fbOy06t2VsZHhMHf-1x7Y/edit?usp=sharing"",""แผน!EX22"")"),157)</f>
        <v>157</v>
      </c>
      <c r="J369" s="169">
        <f ca="1">IFERROR(__xludf.DUMMYFUNCTION("IMPORTRANGE(""https://docs.google.com/spreadsheets/d/1tdoBKaGub7dwA3U6UFTqxio9LNnvDCQjHKmttSEBsFQ/edit?usp=sharing"",""จัดที่ดิน!AD22"")"),0)</f>
        <v>0</v>
      </c>
      <c r="K369" s="47">
        <f ca="1">IF(I369&gt;0,J369*100/I369,0)</f>
        <v>0</v>
      </c>
      <c r="L369" s="145"/>
      <c r="M369" s="145"/>
      <c r="N369" s="145"/>
      <c r="O369" s="145"/>
      <c r="P369" s="145"/>
    </row>
    <row r="370" spans="1:16" ht="18.75" x14ac:dyDescent="0.25">
      <c r="A370" s="148"/>
      <c r="B370" s="155"/>
      <c r="C370" s="149"/>
      <c r="D370" s="155"/>
      <c r="E370" s="155"/>
      <c r="F370" s="155"/>
      <c r="G370" s="153"/>
      <c r="H370" s="251" t="s">
        <v>44</v>
      </c>
      <c r="I370" s="169">
        <v>0</v>
      </c>
      <c r="J370" s="351">
        <f ca="1">IFERROR(__xludf.DUMMYFUNCTION("IMPORTRANGE(""https://docs.google.com/spreadsheets/d/1tdoBKaGub7dwA3U6UFTqxio9LNnvDCQjHKmttSEBsFQ/edit?usp=sharing"",""จัดที่ดิน!AE22"")"),0)</f>
        <v>0</v>
      </c>
      <c r="K370" s="47">
        <f>IF(I370&gt;0,J370*100/I370,0)</f>
        <v>0</v>
      </c>
      <c r="L370" s="145"/>
      <c r="M370" s="145"/>
      <c r="N370" s="145"/>
      <c r="O370" s="145"/>
      <c r="P370" s="145"/>
    </row>
    <row r="371" spans="1:16" ht="18.75" x14ac:dyDescent="0.25">
      <c r="A371" s="148"/>
      <c r="B371" s="155"/>
      <c r="C371" s="149"/>
      <c r="D371" s="155"/>
      <c r="E371" s="154" t="s">
        <v>146</v>
      </c>
      <c r="F371" s="155"/>
      <c r="G371" s="153"/>
      <c r="H371" s="251" t="s">
        <v>33</v>
      </c>
      <c r="I371" s="169">
        <f ca="1">IFERROR(__xludf.DUMMYFUNCTION("IMPORTRANGE(""https://docs.google.com/spreadsheets/d/1eHaY18a8A9IcSdp1K8H6x8fbOy06t2VsZHhMHf-1x7Y/edit?usp=sharing"",""แผน!EY22"")"),101)</f>
        <v>101</v>
      </c>
      <c r="J371" s="169">
        <f ca="1">IFERROR(__xludf.DUMMYFUNCTION("IMPORTRANGE(""https://docs.google.com/spreadsheets/d/1tdoBKaGub7dwA3U6UFTqxio9LNnvDCQjHKmttSEBsFQ/edit?usp=sharing"",""จัดที่ดิน!AF22"")"),0)</f>
        <v>0</v>
      </c>
      <c r="K371" s="47">
        <f ca="1">IF(I371&gt;0,J371*100/I371,0)</f>
        <v>0</v>
      </c>
      <c r="L371" s="145"/>
      <c r="M371" s="145"/>
      <c r="N371" s="145"/>
      <c r="O371" s="145"/>
      <c r="P371" s="145"/>
    </row>
    <row r="372" spans="1:16" ht="18.75" x14ac:dyDescent="0.25">
      <c r="A372" s="148"/>
      <c r="B372" s="155"/>
      <c r="C372" s="149"/>
      <c r="D372" s="155"/>
      <c r="E372" s="155"/>
      <c r="F372" s="155"/>
      <c r="G372" s="153"/>
      <c r="H372" s="251" t="s">
        <v>44</v>
      </c>
      <c r="I372" s="169">
        <v>0</v>
      </c>
      <c r="J372" s="351">
        <f ca="1">IFERROR(__xludf.DUMMYFUNCTION("IMPORTRANGE(""https://docs.google.com/spreadsheets/d/1tdoBKaGub7dwA3U6UFTqxio9LNnvDCQjHKmttSEBsFQ/edit?usp=sharing"",""จัดที่ดิน!AG22"")"),0)</f>
        <v>0</v>
      </c>
      <c r="K372" s="47">
        <f>IF(I372&gt;0,J372*100/I372,0)</f>
        <v>0</v>
      </c>
      <c r="L372" s="145"/>
      <c r="M372" s="145"/>
      <c r="N372" s="145"/>
      <c r="O372" s="145"/>
      <c r="P372" s="145"/>
    </row>
    <row r="373" spans="1:16" ht="16.5" x14ac:dyDescent="0.25">
      <c r="A373" s="2"/>
      <c r="B373" s="1"/>
      <c r="C373" s="2"/>
      <c r="D373" s="352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4"/>
      <c r="H373" s="54"/>
      <c r="I373" s="56"/>
      <c r="J373" s="56"/>
      <c r="K373" s="57"/>
      <c r="L373" s="57"/>
      <c r="M373" s="57"/>
      <c r="N373" s="57"/>
      <c r="O373" s="57"/>
      <c r="P373" s="57"/>
    </row>
    <row r="374" spans="1:16" ht="19.5" hidden="1" x14ac:dyDescent="0.3">
      <c r="A374" s="353" t="s">
        <v>147</v>
      </c>
      <c r="B374" s="354"/>
      <c r="C374" s="354"/>
      <c r="D374" s="354"/>
      <c r="E374" s="355"/>
      <c r="F374" s="355"/>
      <c r="G374" s="355"/>
      <c r="H374" s="355"/>
      <c r="I374" s="356"/>
      <c r="J374" s="356"/>
      <c r="K374" s="357"/>
      <c r="L374" s="357"/>
      <c r="M374" s="357"/>
      <c r="N374" s="357"/>
      <c r="O374" s="357"/>
      <c r="P374" s="358"/>
    </row>
    <row r="375" spans="1:16" ht="19.5" hidden="1" x14ac:dyDescent="0.3">
      <c r="A375" s="359" t="s">
        <v>148</v>
      </c>
      <c r="B375" s="360"/>
      <c r="C375" s="360"/>
      <c r="D375" s="361"/>
      <c r="E375" s="360"/>
      <c r="F375" s="360"/>
      <c r="G375" s="360"/>
      <c r="H375" s="362"/>
      <c r="I375" s="363"/>
      <c r="J375" s="363"/>
      <c r="K375" s="364"/>
      <c r="L375" s="364"/>
      <c r="M375" s="364"/>
      <c r="N375" s="364"/>
      <c r="O375" s="364"/>
      <c r="P375" s="364"/>
    </row>
    <row r="376" spans="1:16" ht="19.5" hidden="1" x14ac:dyDescent="0.3">
      <c r="A376" s="365"/>
      <c r="B376" s="366" t="s">
        <v>149</v>
      </c>
      <c r="C376" s="367"/>
      <c r="D376" s="368"/>
      <c r="E376" s="368"/>
      <c r="F376" s="368"/>
      <c r="G376" s="369"/>
      <c r="H376" s="370" t="s">
        <v>54</v>
      </c>
      <c r="I376" s="371">
        <f>I388</f>
        <v>0</v>
      </c>
      <c r="J376" s="371">
        <f>J388</f>
        <v>0</v>
      </c>
      <c r="K376" s="372">
        <f>IF(I376&gt;0,J376*100/I376,0)</f>
        <v>0</v>
      </c>
      <c r="L376" s="373"/>
      <c r="M376" s="373"/>
      <c r="N376" s="373"/>
      <c r="O376" s="373"/>
      <c r="P376" s="373"/>
    </row>
    <row r="377" spans="1:16" ht="19.5" hidden="1" x14ac:dyDescent="0.3">
      <c r="A377" s="136"/>
      <c r="B377" s="41"/>
      <c r="C377" s="260" t="s">
        <v>16</v>
      </c>
      <c r="D377" s="261" t="s">
        <v>17</v>
      </c>
      <c r="E377" s="41"/>
      <c r="F377" s="41"/>
      <c r="G377" s="43"/>
      <c r="H377" s="277" t="s">
        <v>12</v>
      </c>
      <c r="I377" s="45"/>
      <c r="J377" s="45"/>
      <c r="K377" s="46"/>
      <c r="L377" s="263">
        <f ca="1">L378+L379</f>
        <v>0</v>
      </c>
      <c r="M377" s="263">
        <f ca="1">M378+M379</f>
        <v>0</v>
      </c>
      <c r="N377" s="263">
        <f ca="1">N378+N379</f>
        <v>0</v>
      </c>
      <c r="O377" s="263">
        <f ca="1">IF(L377&gt;0,N377*100/L377,0)</f>
        <v>0</v>
      </c>
      <c r="P377" s="263">
        <f ca="1">IF(M377&gt;0,N377*100/M377,0)</f>
        <v>0</v>
      </c>
    </row>
    <row r="378" spans="1:16" ht="18.75" hidden="1" x14ac:dyDescent="0.25">
      <c r="A378" s="136"/>
      <c r="B378" s="41"/>
      <c r="C378" s="41"/>
      <c r="D378" s="41"/>
      <c r="E378" s="279" t="s">
        <v>18</v>
      </c>
      <c r="F378" s="41"/>
      <c r="G378" s="43"/>
      <c r="H378" s="141" t="s">
        <v>12</v>
      </c>
      <c r="I378" s="45"/>
      <c r="J378" s="45"/>
      <c r="K378" s="46"/>
      <c r="L378" s="50">
        <f>L381+L384</f>
        <v>0</v>
      </c>
      <c r="M378" s="50">
        <f>M381+M384</f>
        <v>0</v>
      </c>
      <c r="N378" s="50">
        <f>N381+N384</f>
        <v>0</v>
      </c>
      <c r="O378" s="50">
        <f>IF(L378&gt;0,N378*100/L378,0)</f>
        <v>0</v>
      </c>
      <c r="P378" s="50">
        <f>IF(M378&gt;0,N378*100/M378,0)</f>
        <v>0</v>
      </c>
    </row>
    <row r="379" spans="1:16" ht="18.75" hidden="1" x14ac:dyDescent="0.25">
      <c r="A379" s="136"/>
      <c r="B379" s="41"/>
      <c r="C379" s="41"/>
      <c r="D379" s="41"/>
      <c r="E379" s="279" t="s">
        <v>19</v>
      </c>
      <c r="F379" s="41"/>
      <c r="G379" s="43"/>
      <c r="H379" s="141" t="s">
        <v>12</v>
      </c>
      <c r="I379" s="45"/>
      <c r="J379" s="45"/>
      <c r="K379" s="46"/>
      <c r="L379" s="50">
        <f ca="1">L382+L385</f>
        <v>0</v>
      </c>
      <c r="M379" s="50">
        <f ca="1">M382+M385</f>
        <v>0</v>
      </c>
      <c r="N379" s="50">
        <f ca="1">N382+N385</f>
        <v>0</v>
      </c>
      <c r="O379" s="50">
        <f ca="1">IF(L379&gt;0,N379*100/L379,0)</f>
        <v>0</v>
      </c>
      <c r="P379" s="50">
        <f ca="1">IF(M379&gt;0,N379*100/M379,0)</f>
        <v>0</v>
      </c>
    </row>
    <row r="380" spans="1:16" ht="18.75" hidden="1" x14ac:dyDescent="0.25">
      <c r="A380" s="136"/>
      <c r="B380" s="41"/>
      <c r="C380" s="41"/>
      <c r="D380" s="278" t="s">
        <v>20</v>
      </c>
      <c r="E380" s="41"/>
      <c r="F380" s="41"/>
      <c r="G380" s="43"/>
      <c r="H380" s="146" t="s">
        <v>12</v>
      </c>
      <c r="I380" s="144"/>
      <c r="J380" s="144"/>
      <c r="K380" s="145"/>
      <c r="L380" s="50">
        <f ca="1">L381+L382</f>
        <v>0</v>
      </c>
      <c r="M380" s="50">
        <f ca="1">M381+M382</f>
        <v>0</v>
      </c>
      <c r="N380" s="50">
        <f ca="1">N381+N382</f>
        <v>0</v>
      </c>
      <c r="O380" s="50">
        <f ca="1">IF(L380&gt;0,N380*100/L380,0)</f>
        <v>0</v>
      </c>
      <c r="P380" s="50">
        <f ca="1">IF(M380&gt;0,N380*100/M380,0)</f>
        <v>0</v>
      </c>
    </row>
    <row r="381" spans="1:16" ht="18.75" hidden="1" x14ac:dyDescent="0.25">
      <c r="A381" s="136"/>
      <c r="B381" s="41"/>
      <c r="C381" s="41"/>
      <c r="D381" s="41"/>
      <c r="E381" s="279" t="s">
        <v>34</v>
      </c>
      <c r="F381" s="41"/>
      <c r="G381" s="43"/>
      <c r="H381" s="146" t="s">
        <v>12</v>
      </c>
      <c r="I381" s="144"/>
      <c r="J381" s="144"/>
      <c r="K381" s="145"/>
      <c r="L381" s="50">
        <v>0</v>
      </c>
      <c r="M381" s="50">
        <v>0</v>
      </c>
      <c r="N381" s="50">
        <v>0</v>
      </c>
      <c r="O381" s="50">
        <f>IF(L381&gt;0,N381*100/L381,0)</f>
        <v>0</v>
      </c>
      <c r="P381" s="50">
        <f>IF(M381&gt;0,N381*100/M381,0)</f>
        <v>0</v>
      </c>
    </row>
    <row r="382" spans="1:16" ht="18.75" hidden="1" x14ac:dyDescent="0.25">
      <c r="A382" s="136"/>
      <c r="B382" s="41"/>
      <c r="C382" s="41"/>
      <c r="D382" s="41"/>
      <c r="E382" s="279" t="s">
        <v>35</v>
      </c>
      <c r="F382" s="41"/>
      <c r="G382" s="43"/>
      <c r="H382" s="146" t="s">
        <v>12</v>
      </c>
      <c r="I382" s="144"/>
      <c r="J382" s="144"/>
      <c r="K382" s="145"/>
      <c r="L382" s="50">
        <f ca="1">IFERROR(__xludf.DUMMYFUNCTION("IMPORTRANGE(""https://docs.google.com/spreadsheets/d/1-uDff_7J0KD5mKrp0Vvzr7lt3OU09vwQwhkpOPPYv2Y/edit?usp=sharing"",""งบพรบ!FM22"")"),0)</f>
        <v>0</v>
      </c>
      <c r="M382" s="50">
        <f ca="1">IFERROR(__xludf.DUMMYFUNCTION("IMPORTRANGE(""https://docs.google.com/spreadsheets/d/1-uDff_7J0KD5mKrp0Vvzr7lt3OU09vwQwhkpOPPYv2Y/edit?usp=sharing"",""งบพรบ!FR22"")"),0)</f>
        <v>0</v>
      </c>
      <c r="N382" s="50">
        <f ca="1">IFERROR(__xludf.DUMMYFUNCTION("IMPORTRANGE(""https://docs.google.com/spreadsheets/d/1-uDff_7J0KD5mKrp0Vvzr7lt3OU09vwQwhkpOPPYv2Y/edit?usp=sharing"",""งบพรบ!FT22"")"),0)</f>
        <v>0</v>
      </c>
      <c r="O382" s="50">
        <f ca="1">IF(L382&gt;0,N382*100/L382,0)</f>
        <v>0</v>
      </c>
      <c r="P382" s="50">
        <f ca="1">IF(M382&gt;0,N382*100/M382,0)</f>
        <v>0</v>
      </c>
    </row>
    <row r="383" spans="1:16" ht="18.75" hidden="1" x14ac:dyDescent="0.25">
      <c r="A383" s="136"/>
      <c r="B383" s="41"/>
      <c r="C383" s="41"/>
      <c r="D383" s="278" t="s">
        <v>21</v>
      </c>
      <c r="E383" s="41"/>
      <c r="F383" s="41"/>
      <c r="G383" s="43"/>
      <c r="H383" s="199" t="s">
        <v>12</v>
      </c>
      <c r="I383" s="144"/>
      <c r="J383" s="144"/>
      <c r="K383" s="145"/>
      <c r="L383" s="50">
        <f ca="1">L384+L385</f>
        <v>0</v>
      </c>
      <c r="M383" s="50">
        <f ca="1">M384+M385</f>
        <v>0</v>
      </c>
      <c r="N383" s="50">
        <f ca="1">N384+N385</f>
        <v>0</v>
      </c>
      <c r="O383" s="50">
        <f ca="1">IF(L383&gt;0,N383*100/L383,0)</f>
        <v>0</v>
      </c>
      <c r="P383" s="50">
        <f ca="1">IF(M383&gt;0,N383*100/M383,0)</f>
        <v>0</v>
      </c>
    </row>
    <row r="384" spans="1:16" ht="18.75" hidden="1" x14ac:dyDescent="0.25">
      <c r="A384" s="136"/>
      <c r="B384" s="41"/>
      <c r="C384" s="41"/>
      <c r="D384" s="41"/>
      <c r="E384" s="279" t="s">
        <v>18</v>
      </c>
      <c r="F384" s="41"/>
      <c r="G384" s="43"/>
      <c r="H384" s="146" t="s">
        <v>12</v>
      </c>
      <c r="I384" s="144"/>
      <c r="J384" s="144"/>
      <c r="K384" s="145"/>
      <c r="L384" s="50">
        <v>0</v>
      </c>
      <c r="M384" s="50">
        <v>0</v>
      </c>
      <c r="N384" s="50">
        <v>0</v>
      </c>
      <c r="O384" s="50">
        <f>IF(L384&gt;0,N384*100/L384,0)</f>
        <v>0</v>
      </c>
      <c r="P384" s="50">
        <f>IF(M384&gt;0,N384*100/M384,0)</f>
        <v>0</v>
      </c>
    </row>
    <row r="385" spans="1:16" ht="18.75" hidden="1" x14ac:dyDescent="0.25">
      <c r="A385" s="136"/>
      <c r="B385" s="41"/>
      <c r="C385" s="41"/>
      <c r="D385" s="41"/>
      <c r="E385" s="279" t="s">
        <v>19</v>
      </c>
      <c r="F385" s="41"/>
      <c r="G385" s="43"/>
      <c r="H385" s="199" t="s">
        <v>12</v>
      </c>
      <c r="I385" s="144"/>
      <c r="J385" s="144"/>
      <c r="K385" s="145"/>
      <c r="L385" s="50">
        <f ca="1">IFERROR(__xludf.DUMMYFUNCTION("IMPORTRANGE(""https://docs.google.com/spreadsheets/d/1-uDff_7J0KD5mKrp0Vvzr7lt3OU09vwQwhkpOPPYv2Y/edit?usp=sharing"",""งบพรบ!FP22"")"),0)</f>
        <v>0</v>
      </c>
      <c r="M385" s="50">
        <f ca="1">IFERROR(__xludf.DUMMYFUNCTION("IMPORTRANGE(""https://docs.google.com/spreadsheets/d/1-uDff_7J0KD5mKrp0Vvzr7lt3OU09vwQwhkpOPPYv2Y/edit?usp=sharing"",""งบพรบ!FS22"")"),0)</f>
        <v>0</v>
      </c>
      <c r="N385" s="50">
        <f ca="1">IFERROR(__xludf.DUMMYFUNCTION("IMPORTRANGE(""https://docs.google.com/spreadsheets/d/1-uDff_7J0KD5mKrp0Vvzr7lt3OU09vwQwhkpOPPYv2Y/edit?usp=sharing"",""งบพรบ!FU22"")"),0)</f>
        <v>0</v>
      </c>
      <c r="O385" s="50">
        <f ca="1">IF(L385&gt;0,N385*100/L385,0)</f>
        <v>0</v>
      </c>
      <c r="P385" s="50">
        <f ca="1">IF(M385&gt;0,N385*100/M385,0)</f>
        <v>0</v>
      </c>
    </row>
    <row r="386" spans="1:16" ht="19.5" hidden="1" x14ac:dyDescent="0.3">
      <c r="A386" s="148"/>
      <c r="B386" s="149"/>
      <c r="C386" s="260" t="s">
        <v>16</v>
      </c>
      <c r="D386" s="394" t="s">
        <v>36</v>
      </c>
      <c r="E386" s="151"/>
      <c r="F386" s="151"/>
      <c r="G386" s="152"/>
      <c r="H386" s="153"/>
      <c r="I386" s="144"/>
      <c r="J386" s="45"/>
      <c r="K386" s="46"/>
      <c r="L386" s="46"/>
      <c r="M386" s="46"/>
      <c r="N386" s="46"/>
      <c r="O386" s="145"/>
      <c r="P386" s="145"/>
    </row>
    <row r="387" spans="1:16" ht="18.75" hidden="1" x14ac:dyDescent="0.25">
      <c r="A387" s="227"/>
      <c r="B387" s="41"/>
      <c r="C387" s="228"/>
      <c r="D387" s="267" t="s">
        <v>150</v>
      </c>
      <c r="E387" s="149"/>
      <c r="F387" s="41"/>
      <c r="G387" s="43"/>
      <c r="H387" s="232" t="s">
        <v>9</v>
      </c>
      <c r="I387" s="200">
        <v>0</v>
      </c>
      <c r="J387" s="201">
        <v>0</v>
      </c>
      <c r="K387" s="50">
        <f>IF(I387&gt;0,J387*100/I387,0)</f>
        <v>0</v>
      </c>
      <c r="L387" s="46"/>
      <c r="M387" s="46"/>
      <c r="N387" s="46"/>
      <c r="O387" s="46"/>
      <c r="P387" s="46"/>
    </row>
    <row r="388" spans="1:16" ht="18.75" hidden="1" x14ac:dyDescent="0.25">
      <c r="A388" s="374"/>
      <c r="B388" s="1"/>
      <c r="C388" s="2"/>
      <c r="D388" s="375" t="s">
        <v>151</v>
      </c>
      <c r="E388" s="281"/>
      <c r="F388" s="1"/>
      <c r="G388" s="54"/>
      <c r="H388" s="376" t="s">
        <v>54</v>
      </c>
      <c r="I388" s="205">
        <v>0</v>
      </c>
      <c r="J388" s="206">
        <v>0</v>
      </c>
      <c r="K388" s="207">
        <f>IF(I388&gt;0,J388*100/I388,0)</f>
        <v>0</v>
      </c>
      <c r="L388" s="57"/>
      <c r="M388" s="57"/>
      <c r="N388" s="57"/>
      <c r="O388" s="57"/>
      <c r="P388" s="57"/>
    </row>
    <row r="389" spans="1:16" ht="12.75" x14ac:dyDescent="0.2">
      <c r="A389" s="168"/>
      <c r="B389" s="168"/>
      <c r="C389" s="168"/>
      <c r="D389" s="168"/>
      <c r="E389" s="168"/>
      <c r="F389" s="168"/>
      <c r="G389" s="168"/>
      <c r="H389" s="168"/>
      <c r="I389" s="168"/>
      <c r="J389" s="168"/>
      <c r="K389" s="168"/>
      <c r="L389" s="168"/>
      <c r="M389" s="168"/>
      <c r="N389" s="168"/>
      <c r="O389" s="168"/>
      <c r="P389" s="168"/>
    </row>
    <row r="390" spans="1:16" ht="16.5" x14ac:dyDescent="0.25">
      <c r="A390" s="377" t="s">
        <v>152</v>
      </c>
      <c r="B390" s="168"/>
      <c r="C390" s="168"/>
      <c r="D390" s="168"/>
      <c r="E390" s="168"/>
      <c r="F390" s="168"/>
      <c r="G390" s="168"/>
      <c r="H390" s="168"/>
      <c r="I390" s="168"/>
      <c r="J390" s="168"/>
      <c r="K390" s="168"/>
      <c r="L390" s="168"/>
      <c r="M390" s="168"/>
      <c r="N390" s="168"/>
      <c r="O390" s="168"/>
      <c r="P390" s="168"/>
    </row>
    <row r="391" spans="1:16" ht="16.5" x14ac:dyDescent="0.25">
      <c r="A391" s="377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8"/>
      <c r="C391" s="168"/>
      <c r="D391" s="168"/>
      <c r="E391" s="168"/>
      <c r="F391" s="168"/>
      <c r="G391" s="168"/>
      <c r="H391" s="168"/>
      <c r="I391" s="168"/>
      <c r="J391" s="168"/>
      <c r="K391" s="168"/>
      <c r="L391" s="168"/>
      <c r="M391" s="168"/>
      <c r="N391" s="168"/>
      <c r="O391" s="168"/>
      <c r="P391" s="16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2" orientation="portrait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66A7E-3878-43B7-876C-ACEE6EB2D3B7}">
  <sheetPr>
    <outlinePr summaryBelow="0" summaryRight="0"/>
  </sheetPr>
  <dimension ref="A1:P391"/>
  <sheetViews>
    <sheetView view="pageBreakPreview" zoomScale="60" zoomScaleNormal="68" workbookViewId="0">
      <pane xSplit="8" ySplit="6" topLeftCell="I7" activePane="bottomRight" state="frozen"/>
      <selection activeCell="P44" sqref="P44"/>
      <selection pane="topRight" activeCell="P44" sqref="P44"/>
      <selection pane="bottomLeft" activeCell="P44" sqref="P44"/>
      <selection pane="bottomRight" activeCell="P44" sqref="P4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3" width="21.5703125" bestFit="1" customWidth="1"/>
    <col min="14" max="14" width="19" bestFit="1" customWidth="1"/>
    <col min="15" max="15" width="17.5703125" customWidth="1"/>
    <col min="16" max="16" width="22.42578125" bestFit="1" customWidth="1"/>
  </cols>
  <sheetData>
    <row r="1" spans="1:16" ht="19.5" x14ac:dyDescent="0.3">
      <c r="A1" s="386" t="s">
        <v>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</row>
    <row r="2" spans="1:16" ht="19.5" x14ac:dyDescent="0.3">
      <c r="A2" s="386" t="s">
        <v>166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</row>
    <row r="3" spans="1:16" ht="19.5" x14ac:dyDescent="0.3">
      <c r="A3" s="386" t="s">
        <v>175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388" t="s">
        <v>2</v>
      </c>
      <c r="B5" s="387"/>
      <c r="C5" s="387"/>
      <c r="D5" s="387"/>
      <c r="E5" s="387"/>
      <c r="F5" s="387"/>
      <c r="G5" s="389"/>
      <c r="H5" s="4" t="s">
        <v>3</v>
      </c>
      <c r="I5" s="391" t="s">
        <v>4</v>
      </c>
      <c r="J5" s="379"/>
      <c r="K5" s="380"/>
      <c r="L5" s="392" t="s">
        <v>5</v>
      </c>
      <c r="M5" s="380"/>
      <c r="N5" s="393" t="s">
        <v>6</v>
      </c>
      <c r="O5" s="379"/>
      <c r="P5" s="380"/>
    </row>
    <row r="6" spans="1:16" ht="19.5" x14ac:dyDescent="0.3">
      <c r="A6" s="390"/>
      <c r="B6" s="379"/>
      <c r="C6" s="379"/>
      <c r="D6" s="379"/>
      <c r="E6" s="379"/>
      <c r="F6" s="379"/>
      <c r="G6" s="380"/>
      <c r="H6" s="5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466" t="s">
        <v>14</v>
      </c>
    </row>
    <row r="7" spans="1:16" ht="12.75" hidden="1" x14ac:dyDescent="0.2">
      <c r="A7" s="381"/>
      <c r="B7" s="379"/>
      <c r="C7" s="379"/>
      <c r="D7" s="379"/>
      <c r="E7" s="379"/>
      <c r="F7" s="379"/>
      <c r="G7" s="380"/>
      <c r="H7" s="12"/>
      <c r="I7" s="13"/>
      <c r="J7" s="13"/>
      <c r="K7" s="14"/>
      <c r="L7" s="14"/>
      <c r="M7" s="14"/>
      <c r="N7" s="14"/>
      <c r="O7" s="14"/>
      <c r="P7" s="14"/>
    </row>
    <row r="8" spans="1:16" ht="12.75" hidden="1" x14ac:dyDescent="0.2">
      <c r="A8" s="15"/>
      <c r="B8" s="16"/>
      <c r="C8" s="16"/>
      <c r="D8" s="16"/>
      <c r="E8" s="16"/>
      <c r="F8" s="16"/>
      <c r="G8" s="17"/>
      <c r="H8" s="17"/>
      <c r="I8" s="18"/>
      <c r="J8" s="18"/>
      <c r="K8" s="19"/>
      <c r="L8" s="19"/>
      <c r="M8" s="19"/>
      <c r="N8" s="19"/>
      <c r="O8" s="19"/>
      <c r="P8" s="19"/>
    </row>
    <row r="9" spans="1:16" ht="12.75" hidden="1" x14ac:dyDescent="0.2">
      <c r="A9" s="15"/>
      <c r="B9" s="16"/>
      <c r="C9" s="16"/>
      <c r="D9" s="16"/>
      <c r="E9" s="16"/>
      <c r="F9" s="16"/>
      <c r="G9" s="17"/>
      <c r="H9" s="17"/>
      <c r="I9" s="18"/>
      <c r="J9" s="18"/>
      <c r="K9" s="19"/>
      <c r="L9" s="19"/>
      <c r="M9" s="19"/>
      <c r="N9" s="19"/>
      <c r="O9" s="19"/>
      <c r="P9" s="19"/>
    </row>
    <row r="10" spans="1:16" ht="12.75" hidden="1" x14ac:dyDescent="0.2">
      <c r="A10" s="15"/>
      <c r="B10" s="16"/>
      <c r="C10" s="16"/>
      <c r="D10" s="16"/>
      <c r="E10" s="16"/>
      <c r="F10" s="16"/>
      <c r="G10" s="17"/>
      <c r="H10" s="17"/>
      <c r="I10" s="18"/>
      <c r="J10" s="18"/>
      <c r="K10" s="19"/>
      <c r="L10" s="19"/>
      <c r="M10" s="19"/>
      <c r="N10" s="19"/>
      <c r="O10" s="19"/>
      <c r="P10" s="19"/>
    </row>
    <row r="11" spans="1:16" ht="12.75" hidden="1" x14ac:dyDescent="0.2">
      <c r="A11" s="15"/>
      <c r="B11" s="16"/>
      <c r="C11" s="16"/>
      <c r="D11" s="16"/>
      <c r="E11" s="16"/>
      <c r="F11" s="16"/>
      <c r="G11" s="17"/>
      <c r="H11" s="17"/>
      <c r="I11" s="18"/>
      <c r="J11" s="18"/>
      <c r="K11" s="19"/>
      <c r="L11" s="19"/>
      <c r="M11" s="19"/>
      <c r="N11" s="19"/>
      <c r="O11" s="19"/>
      <c r="P11" s="19"/>
    </row>
    <row r="12" spans="1:16" ht="12.75" hidden="1" x14ac:dyDescent="0.2">
      <c r="A12" s="15"/>
      <c r="B12" s="16"/>
      <c r="C12" s="16"/>
      <c r="D12" s="16"/>
      <c r="E12" s="16"/>
      <c r="F12" s="16"/>
      <c r="G12" s="17"/>
      <c r="H12" s="17"/>
      <c r="I12" s="18"/>
      <c r="J12" s="18"/>
      <c r="K12" s="19"/>
      <c r="L12" s="19"/>
      <c r="M12" s="19"/>
      <c r="N12" s="19"/>
      <c r="O12" s="19"/>
      <c r="P12" s="19"/>
    </row>
    <row r="13" spans="1:16" ht="12.75" hidden="1" x14ac:dyDescent="0.2">
      <c r="A13" s="15"/>
      <c r="B13" s="16"/>
      <c r="C13" s="16"/>
      <c r="D13" s="16"/>
      <c r="E13" s="16"/>
      <c r="F13" s="16"/>
      <c r="G13" s="17"/>
      <c r="H13" s="17"/>
      <c r="I13" s="18"/>
      <c r="J13" s="18"/>
      <c r="K13" s="19"/>
      <c r="L13" s="19"/>
      <c r="M13" s="19"/>
      <c r="N13" s="19"/>
      <c r="O13" s="19"/>
      <c r="P13" s="19"/>
    </row>
    <row r="14" spans="1:16" ht="12.75" hidden="1" x14ac:dyDescent="0.2">
      <c r="A14" s="15"/>
      <c r="B14" s="16"/>
      <c r="C14" s="16"/>
      <c r="D14" s="16"/>
      <c r="E14" s="16"/>
      <c r="F14" s="16"/>
      <c r="G14" s="17"/>
      <c r="H14" s="17"/>
      <c r="I14" s="18"/>
      <c r="J14" s="18"/>
      <c r="K14" s="19"/>
      <c r="L14" s="19"/>
      <c r="M14" s="19"/>
      <c r="N14" s="19"/>
      <c r="O14" s="19"/>
      <c r="P14" s="19"/>
    </row>
    <row r="15" spans="1:16" ht="12.75" hidden="1" x14ac:dyDescent="0.2">
      <c r="A15" s="15"/>
      <c r="B15" s="16"/>
      <c r="C15" s="16"/>
      <c r="D15" s="16"/>
      <c r="E15" s="16"/>
      <c r="F15" s="16"/>
      <c r="G15" s="17"/>
      <c r="H15" s="17"/>
      <c r="I15" s="18"/>
      <c r="J15" s="18"/>
      <c r="K15" s="19"/>
      <c r="L15" s="19"/>
      <c r="M15" s="19"/>
      <c r="N15" s="19"/>
      <c r="O15" s="19"/>
      <c r="P15" s="19"/>
    </row>
    <row r="16" spans="1:16" ht="12.75" hidden="1" x14ac:dyDescent="0.2">
      <c r="A16" s="20"/>
      <c r="B16" s="21"/>
      <c r="C16" s="21"/>
      <c r="D16" s="21"/>
      <c r="E16" s="21"/>
      <c r="F16" s="21"/>
      <c r="G16" s="12"/>
      <c r="H16" s="12"/>
      <c r="I16" s="13"/>
      <c r="J16" s="13"/>
      <c r="K16" s="14"/>
      <c r="L16" s="14"/>
      <c r="M16" s="14"/>
      <c r="N16" s="14"/>
      <c r="O16" s="14"/>
      <c r="P16" s="14"/>
    </row>
    <row r="17" spans="1:16" ht="19.5" x14ac:dyDescent="0.3">
      <c r="A17" s="378" t="s">
        <v>15</v>
      </c>
      <c r="B17" s="379"/>
      <c r="C17" s="379"/>
      <c r="D17" s="379"/>
      <c r="E17" s="379"/>
      <c r="F17" s="379"/>
      <c r="G17" s="380"/>
      <c r="H17" s="22"/>
      <c r="I17" s="23"/>
      <c r="J17" s="23"/>
      <c r="K17" s="24"/>
      <c r="L17" s="24"/>
      <c r="M17" s="24"/>
      <c r="N17" s="24"/>
      <c r="O17" s="24"/>
      <c r="P17" s="24"/>
    </row>
    <row r="18" spans="1:16" ht="19.5" x14ac:dyDescent="0.3">
      <c r="A18" s="25"/>
      <c r="B18" s="26"/>
      <c r="C18" s="132" t="s">
        <v>16</v>
      </c>
      <c r="D18" s="28" t="s">
        <v>17</v>
      </c>
      <c r="E18" s="26"/>
      <c r="F18" s="26"/>
      <c r="G18" s="29"/>
      <c r="H18" s="30" t="s">
        <v>12</v>
      </c>
      <c r="I18" s="31"/>
      <c r="J18" s="31"/>
      <c r="K18" s="32"/>
      <c r="L18" s="33">
        <f ca="1">L19+L20</f>
        <v>2820905</v>
      </c>
      <c r="M18" s="33">
        <f ca="1">M19+M20</f>
        <v>2412865</v>
      </c>
      <c r="N18" s="33">
        <f ca="1">N19+N20</f>
        <v>832683.72</v>
      </c>
      <c r="O18" s="33">
        <f ca="1">IF(L18&gt;0,N18*100/L18,0)</f>
        <v>29.518318411998987</v>
      </c>
      <c r="P18" s="33">
        <f ca="1">IF(M18&gt;0,N18*100/M18,0)</f>
        <v>34.510166130305677</v>
      </c>
    </row>
    <row r="19" spans="1:16" ht="18.75" hidden="1" x14ac:dyDescent="0.25">
      <c r="A19" s="25"/>
      <c r="B19" s="26"/>
      <c r="C19" s="26"/>
      <c r="D19" s="26"/>
      <c r="E19" s="34" t="s">
        <v>18</v>
      </c>
      <c r="F19" s="26"/>
      <c r="G19" s="29"/>
      <c r="H19" s="35" t="s">
        <v>12</v>
      </c>
      <c r="I19" s="31"/>
      <c r="J19" s="31"/>
      <c r="K19" s="32"/>
      <c r="L19" s="36">
        <f>L22+L25</f>
        <v>0</v>
      </c>
      <c r="M19" s="36">
        <f>M22+M25</f>
        <v>0</v>
      </c>
      <c r="N19" s="36">
        <f>N22+N25</f>
        <v>0</v>
      </c>
      <c r="O19" s="36">
        <f>IF(L19&gt;0,N19*100/L19,0)</f>
        <v>0</v>
      </c>
      <c r="P19" s="36">
        <f>IF(M19&gt;0,N19*100/M19,0)</f>
        <v>0</v>
      </c>
    </row>
    <row r="20" spans="1:16" ht="18.75" x14ac:dyDescent="0.25">
      <c r="A20" s="25"/>
      <c r="B20" s="26"/>
      <c r="C20" s="26"/>
      <c r="D20" s="26"/>
      <c r="E20" s="37" t="s">
        <v>19</v>
      </c>
      <c r="F20" s="26"/>
      <c r="G20" s="29"/>
      <c r="H20" s="38" t="s">
        <v>12</v>
      </c>
      <c r="I20" s="31"/>
      <c r="J20" s="31"/>
      <c r="K20" s="32"/>
      <c r="L20" s="39">
        <f ca="1">L23+L26</f>
        <v>2820905</v>
      </c>
      <c r="M20" s="39">
        <f ca="1">M23+M26</f>
        <v>2412865</v>
      </c>
      <c r="N20" s="39">
        <f ca="1">N23+N26</f>
        <v>832683.72</v>
      </c>
      <c r="O20" s="39">
        <f ca="1">IF(L20&gt;0,N20*100/L20,0)</f>
        <v>29.518318411998987</v>
      </c>
      <c r="P20" s="39">
        <f ca="1">IF(M20&gt;0,N20*100/M20,0)</f>
        <v>34.510166130305677</v>
      </c>
    </row>
    <row r="21" spans="1:16" ht="18.75" x14ac:dyDescent="0.25">
      <c r="A21" s="40"/>
      <c r="B21" s="41"/>
      <c r="C21" s="41"/>
      <c r="D21" s="42" t="s">
        <v>20</v>
      </c>
      <c r="E21" s="41"/>
      <c r="F21" s="41"/>
      <c r="G21" s="43"/>
      <c r="H21" s="44" t="s">
        <v>12</v>
      </c>
      <c r="I21" s="45"/>
      <c r="J21" s="45"/>
      <c r="K21" s="46"/>
      <c r="L21" s="47">
        <f ca="1">L22+L23</f>
        <v>2820905</v>
      </c>
      <c r="M21" s="47">
        <f ca="1">M22+M23</f>
        <v>2412865</v>
      </c>
      <c r="N21" s="47">
        <f ca="1">N22+N23</f>
        <v>832683.72</v>
      </c>
      <c r="O21" s="47">
        <f ca="1">IF(L21&gt;0,N21*100/L21,0)</f>
        <v>29.518318411998987</v>
      </c>
      <c r="P21" s="47">
        <f ca="1">IF(M21&gt;0,N21*100/M21,0)</f>
        <v>34.510166130305677</v>
      </c>
    </row>
    <row r="22" spans="1:16" ht="18.75" hidden="1" x14ac:dyDescent="0.25">
      <c r="A22" s="40"/>
      <c r="B22" s="41"/>
      <c r="C22" s="41"/>
      <c r="D22" s="41"/>
      <c r="E22" s="279" t="s">
        <v>18</v>
      </c>
      <c r="F22" s="41"/>
      <c r="G22" s="43"/>
      <c r="H22" s="49" t="s">
        <v>12</v>
      </c>
      <c r="I22" s="45"/>
      <c r="J22" s="45"/>
      <c r="K22" s="46"/>
      <c r="L22" s="50">
        <f>L48+L63+L76+L98+L129+L143+L161+L190+L177+L270+L286+L307+L324+L337+L360+L381</f>
        <v>0</v>
      </c>
      <c r="M22" s="50">
        <f>M48+M63+M76+M98+M129+M143+M161+M190+M177+M270+M286+M307+M324+M337+M360+M381</f>
        <v>0</v>
      </c>
      <c r="N22" s="50">
        <f>N48+N63+N76+N98+N129+N143+N161+N190+N177+N270+N286+N307+N324+N337+N360+N381</f>
        <v>0</v>
      </c>
      <c r="O22" s="50">
        <f>IF(L22&gt;0,N22*100/L22,0)</f>
        <v>0</v>
      </c>
      <c r="P22" s="50">
        <f>IF(M22&gt;0,N22*100/M22,0)</f>
        <v>0</v>
      </c>
    </row>
    <row r="23" spans="1:16" ht="18.75" x14ac:dyDescent="0.25">
      <c r="A23" s="40"/>
      <c r="B23" s="41"/>
      <c r="C23" s="41"/>
      <c r="D23" s="41"/>
      <c r="E23" s="254" t="s">
        <v>19</v>
      </c>
      <c r="F23" s="41"/>
      <c r="G23" s="43"/>
      <c r="H23" s="44" t="s">
        <v>12</v>
      </c>
      <c r="I23" s="45"/>
      <c r="J23" s="45"/>
      <c r="K23" s="46"/>
      <c r="L23" s="47">
        <f ca="1">L49+L64+L77+L99+L130+L144+L162+L191+L178+L271+L287+L308+L325+L338+L361+L382</f>
        <v>2820905</v>
      </c>
      <c r="M23" s="47">
        <f ca="1">M49+M64+M77+M99+M130+M144+M162+M191+M178+M271+M287+M308+M325+M338+M361+M382</f>
        <v>2412865</v>
      </c>
      <c r="N23" s="47">
        <f ca="1">N49+N64+N77+N99+N130+N144+N162+N191+N178+N271+N287+N308+N325+N338+N361+N382</f>
        <v>832683.72</v>
      </c>
      <c r="O23" s="47">
        <f ca="1">IF(L23&gt;0,N23*100/L23,0)</f>
        <v>29.518318411998987</v>
      </c>
      <c r="P23" s="47">
        <f ca="1">IF(M23&gt;0,N23*100/M23,0)</f>
        <v>34.510166130305677</v>
      </c>
    </row>
    <row r="24" spans="1:16" ht="18.75" x14ac:dyDescent="0.25">
      <c r="A24" s="40"/>
      <c r="B24" s="41"/>
      <c r="C24" s="41"/>
      <c r="D24" s="42" t="s">
        <v>21</v>
      </c>
      <c r="E24" s="41"/>
      <c r="F24" s="41"/>
      <c r="G24" s="43"/>
      <c r="H24" s="44" t="s">
        <v>12</v>
      </c>
      <c r="I24" s="45"/>
      <c r="J24" s="45"/>
      <c r="K24" s="46"/>
      <c r="L24" s="47">
        <f ca="1">L25+L26</f>
        <v>0</v>
      </c>
      <c r="M24" s="47">
        <f ca="1">M25+M26</f>
        <v>0</v>
      </c>
      <c r="N24" s="47">
        <f ca="1">N25+N26</f>
        <v>0</v>
      </c>
      <c r="O24" s="47">
        <f ca="1">IF(L24&gt;0,N24*100/L24,0)</f>
        <v>0</v>
      </c>
      <c r="P24" s="47">
        <f ca="1">IF(M24&gt;0,N24*100/M24,0)</f>
        <v>0</v>
      </c>
    </row>
    <row r="25" spans="1:16" ht="18.75" hidden="1" x14ac:dyDescent="0.25">
      <c r="A25" s="40"/>
      <c r="B25" s="41"/>
      <c r="C25" s="41"/>
      <c r="D25" s="41"/>
      <c r="E25" s="279" t="s">
        <v>18</v>
      </c>
      <c r="F25" s="41"/>
      <c r="G25" s="43"/>
      <c r="H25" s="49" t="s">
        <v>12</v>
      </c>
      <c r="I25" s="45"/>
      <c r="J25" s="45"/>
      <c r="K25" s="46"/>
      <c r="L25" s="50">
        <f>L51+L66+L79+L101+L132+L146+L164+L193+L180+L273+L289+L310+L327+L340+L363+L384</f>
        <v>0</v>
      </c>
      <c r="M25" s="50">
        <f>M51+M66+M79+M101+M132+M146+M164+M193+M180+M273+M289+M310+M327+M340+M363+M384</f>
        <v>0</v>
      </c>
      <c r="N25" s="50">
        <f>N51+N66+N79+N101+N132+N146+N164+N193+N180+N273+N289+N310+N327+N340+N363+N384</f>
        <v>0</v>
      </c>
      <c r="O25" s="50">
        <f>IF(L25&gt;0,N25*100/L25,0)</f>
        <v>0</v>
      </c>
      <c r="P25" s="50">
        <f>IF(M25&gt;0,N25*100/M25,0)</f>
        <v>0</v>
      </c>
    </row>
    <row r="26" spans="1:16" ht="18.75" x14ac:dyDescent="0.25">
      <c r="A26" s="40"/>
      <c r="B26" s="41"/>
      <c r="C26" s="41"/>
      <c r="D26" s="41"/>
      <c r="E26" s="254" t="s">
        <v>19</v>
      </c>
      <c r="F26" s="41"/>
      <c r="G26" s="43"/>
      <c r="H26" s="44" t="s">
        <v>12</v>
      </c>
      <c r="I26" s="45"/>
      <c r="J26" s="45"/>
      <c r="K26" s="46"/>
      <c r="L26" s="47">
        <f ca="1">L52+L67+L80+L102+L133+L147+L165+L194+L181+L274+L290+L311+L328+L341+L364+L385</f>
        <v>0</v>
      </c>
      <c r="M26" s="47">
        <f ca="1">M52+M67+M80+M102+M133+M147+M165+M194+M181+M274+M290+M311+M328+M341+M364+M385</f>
        <v>0</v>
      </c>
      <c r="N26" s="47">
        <f ca="1">N52+N67+N80+N102+N133+N147+N165+N194+N181+N274+N290+N311+N328+N341+N364+N385</f>
        <v>0</v>
      </c>
      <c r="O26" s="47">
        <f ca="1">IF(L26&gt;0,N26*100/L26,0)</f>
        <v>0</v>
      </c>
      <c r="P26" s="47">
        <f ca="1">IF(M26&gt;0,N26*100/M26,0)</f>
        <v>0</v>
      </c>
    </row>
    <row r="27" spans="1:16" ht="18.75" hidden="1" x14ac:dyDescent="0.25">
      <c r="A27" s="40"/>
      <c r="B27" s="41"/>
      <c r="C27" s="41"/>
      <c r="D27" s="42" t="s">
        <v>22</v>
      </c>
      <c r="E27" s="41"/>
      <c r="F27" s="41"/>
      <c r="G27" s="43"/>
      <c r="H27" s="44" t="s">
        <v>12</v>
      </c>
      <c r="I27" s="45"/>
      <c r="J27" s="45"/>
      <c r="K27" s="46"/>
      <c r="L27" s="47"/>
      <c r="M27" s="47"/>
      <c r="N27" s="47"/>
      <c r="O27" s="47"/>
      <c r="P27" s="47"/>
    </row>
    <row r="28" spans="1:16" ht="18.75" hidden="1" x14ac:dyDescent="0.25">
      <c r="A28" s="40"/>
      <c r="B28" s="41"/>
      <c r="C28" s="41"/>
      <c r="D28" s="41"/>
      <c r="E28" s="279" t="s">
        <v>18</v>
      </c>
      <c r="F28" s="41"/>
      <c r="G28" s="43"/>
      <c r="H28" s="49" t="s">
        <v>12</v>
      </c>
      <c r="I28" s="45"/>
      <c r="J28" s="45"/>
      <c r="K28" s="46"/>
      <c r="L28" s="50"/>
      <c r="M28" s="50"/>
      <c r="N28" s="50"/>
      <c r="O28" s="50"/>
      <c r="P28" s="50"/>
    </row>
    <row r="29" spans="1:16" ht="18.75" hidden="1" x14ac:dyDescent="0.25">
      <c r="A29" s="52"/>
      <c r="B29" s="1"/>
      <c r="C29" s="1"/>
      <c r="D29" s="1"/>
      <c r="E29" s="53" t="s">
        <v>19</v>
      </c>
      <c r="F29" s="1"/>
      <c r="G29" s="54"/>
      <c r="H29" s="55" t="s">
        <v>12</v>
      </c>
      <c r="I29" s="56"/>
      <c r="J29" s="56"/>
      <c r="K29" s="57"/>
      <c r="L29" s="58"/>
      <c r="M29" s="58"/>
      <c r="N29" s="58"/>
      <c r="O29" s="58"/>
      <c r="P29" s="58"/>
    </row>
    <row r="30" spans="1:16" ht="12.75" hidden="1" x14ac:dyDescent="0.2">
      <c r="A30" s="381"/>
      <c r="B30" s="379"/>
      <c r="C30" s="379"/>
      <c r="D30" s="379"/>
      <c r="E30" s="379"/>
      <c r="F30" s="379"/>
      <c r="G30" s="380"/>
      <c r="H30" s="12"/>
      <c r="I30" s="13"/>
      <c r="J30" s="13"/>
      <c r="K30" s="14"/>
      <c r="L30" s="14"/>
      <c r="M30" s="14"/>
      <c r="N30" s="14"/>
      <c r="O30" s="14"/>
      <c r="P30" s="14"/>
    </row>
    <row r="31" spans="1:16" ht="12.75" hidden="1" x14ac:dyDescent="0.2">
      <c r="A31" s="15"/>
      <c r="B31" s="16"/>
      <c r="C31" s="16"/>
      <c r="D31" s="16"/>
      <c r="E31" s="16"/>
      <c r="F31" s="16"/>
      <c r="G31" s="17"/>
      <c r="H31" s="17"/>
      <c r="I31" s="18"/>
      <c r="J31" s="18"/>
      <c r="K31" s="19"/>
      <c r="L31" s="19"/>
      <c r="M31" s="19"/>
      <c r="N31" s="19"/>
      <c r="O31" s="19"/>
      <c r="P31" s="19"/>
    </row>
    <row r="32" spans="1:16" ht="12.75" hidden="1" x14ac:dyDescent="0.2">
      <c r="A32" s="15"/>
      <c r="B32" s="16"/>
      <c r="C32" s="16"/>
      <c r="D32" s="16"/>
      <c r="E32" s="16"/>
      <c r="F32" s="16"/>
      <c r="G32" s="17"/>
      <c r="H32" s="17"/>
      <c r="I32" s="18"/>
      <c r="J32" s="18"/>
      <c r="K32" s="19"/>
      <c r="L32" s="19"/>
      <c r="M32" s="19"/>
      <c r="N32" s="19"/>
      <c r="O32" s="19"/>
      <c r="P32" s="19"/>
    </row>
    <row r="33" spans="1:16" ht="12.75" hidden="1" x14ac:dyDescent="0.2">
      <c r="A33" s="15"/>
      <c r="B33" s="16"/>
      <c r="C33" s="16"/>
      <c r="D33" s="16"/>
      <c r="E33" s="16"/>
      <c r="F33" s="16"/>
      <c r="G33" s="17"/>
      <c r="H33" s="17"/>
      <c r="I33" s="18"/>
      <c r="J33" s="18"/>
      <c r="K33" s="19"/>
      <c r="L33" s="19"/>
      <c r="M33" s="19"/>
      <c r="N33" s="19"/>
      <c r="O33" s="19"/>
      <c r="P33" s="19"/>
    </row>
    <row r="34" spans="1:16" ht="12.75" hidden="1" x14ac:dyDescent="0.2">
      <c r="A34" s="15"/>
      <c r="B34" s="16"/>
      <c r="C34" s="16"/>
      <c r="D34" s="16"/>
      <c r="E34" s="16"/>
      <c r="F34" s="16"/>
      <c r="G34" s="17"/>
      <c r="H34" s="17"/>
      <c r="I34" s="18"/>
      <c r="J34" s="18"/>
      <c r="K34" s="19"/>
      <c r="L34" s="19"/>
      <c r="M34" s="19"/>
      <c r="N34" s="19"/>
      <c r="O34" s="19"/>
      <c r="P34" s="19"/>
    </row>
    <row r="35" spans="1:16" ht="12.75" hidden="1" x14ac:dyDescent="0.2">
      <c r="A35" s="15"/>
      <c r="B35" s="16"/>
      <c r="C35" s="16"/>
      <c r="D35" s="16"/>
      <c r="E35" s="16"/>
      <c r="F35" s="16"/>
      <c r="G35" s="17"/>
      <c r="H35" s="17"/>
      <c r="I35" s="18"/>
      <c r="J35" s="18"/>
      <c r="K35" s="19"/>
      <c r="L35" s="19"/>
      <c r="M35" s="19"/>
      <c r="N35" s="19"/>
      <c r="O35" s="19"/>
      <c r="P35" s="19"/>
    </row>
    <row r="36" spans="1:16" ht="12.75" hidden="1" x14ac:dyDescent="0.2">
      <c r="A36" s="15"/>
      <c r="B36" s="16"/>
      <c r="C36" s="16"/>
      <c r="D36" s="16"/>
      <c r="E36" s="16"/>
      <c r="F36" s="16"/>
      <c r="G36" s="17"/>
      <c r="H36" s="17"/>
      <c r="I36" s="18"/>
      <c r="J36" s="18"/>
      <c r="K36" s="19"/>
      <c r="L36" s="19"/>
      <c r="M36" s="19"/>
      <c r="N36" s="19"/>
      <c r="O36" s="19"/>
      <c r="P36" s="19"/>
    </row>
    <row r="37" spans="1:16" ht="12.75" hidden="1" x14ac:dyDescent="0.2">
      <c r="A37" s="15"/>
      <c r="B37" s="16"/>
      <c r="C37" s="16"/>
      <c r="D37" s="16"/>
      <c r="E37" s="16"/>
      <c r="F37" s="16"/>
      <c r="G37" s="17"/>
      <c r="H37" s="17"/>
      <c r="I37" s="18"/>
      <c r="J37" s="18"/>
      <c r="K37" s="19"/>
      <c r="L37" s="19"/>
      <c r="M37" s="19"/>
      <c r="N37" s="19"/>
      <c r="O37" s="19"/>
      <c r="P37" s="19"/>
    </row>
    <row r="38" spans="1:16" ht="12.75" hidden="1" x14ac:dyDescent="0.2">
      <c r="A38" s="15"/>
      <c r="B38" s="16"/>
      <c r="C38" s="16"/>
      <c r="D38" s="16"/>
      <c r="E38" s="16"/>
      <c r="F38" s="16"/>
      <c r="G38" s="17"/>
      <c r="H38" s="17"/>
      <c r="I38" s="18"/>
      <c r="J38" s="18"/>
      <c r="K38" s="19"/>
      <c r="L38" s="19"/>
      <c r="M38" s="19"/>
      <c r="N38" s="19"/>
      <c r="O38" s="19"/>
      <c r="P38" s="19"/>
    </row>
    <row r="39" spans="1:16" ht="12.75" hidden="1" x14ac:dyDescent="0.2">
      <c r="A39" s="20"/>
      <c r="B39" s="21"/>
      <c r="C39" s="21"/>
      <c r="D39" s="21"/>
      <c r="E39" s="21"/>
      <c r="F39" s="21"/>
      <c r="G39" s="12"/>
      <c r="H39" s="12"/>
      <c r="I39" s="13"/>
      <c r="J39" s="13"/>
      <c r="K39" s="14"/>
      <c r="L39" s="14"/>
      <c r="M39" s="14"/>
      <c r="N39" s="14"/>
      <c r="O39" s="14"/>
      <c r="P39" s="14"/>
    </row>
    <row r="40" spans="1:16" ht="19.5" hidden="1" x14ac:dyDescent="0.3">
      <c r="A40" s="59" t="s">
        <v>23</v>
      </c>
      <c r="B40" s="60"/>
      <c r="C40" s="60"/>
      <c r="D40" s="60"/>
      <c r="E40" s="60"/>
      <c r="F40" s="60"/>
      <c r="G40" s="61"/>
      <c r="H40" s="61"/>
      <c r="I40" s="62"/>
      <c r="J40" s="62"/>
      <c r="K40" s="63"/>
      <c r="L40" s="64">
        <f ca="1">L44+L59+L72+L94+L125+L139+L157+L173+L186+L266+L282+L303+L320+L333+L356</f>
        <v>2820905</v>
      </c>
      <c r="M40" s="64">
        <f ca="1">M44+M59+M72+M94+M125+M139+M157+M173+M186+M266+M282+M303+M320+M333+M356</f>
        <v>2412865</v>
      </c>
      <c r="N40" s="64">
        <f ca="1">N44+N59+N72+N94+N125+N139+N157+N173+N186+N266+N282+N303+N320+N333+N356</f>
        <v>832683.72</v>
      </c>
      <c r="O40" s="64">
        <f ca="1">IF(L40&gt;0,N40*100/L40,0)</f>
        <v>29.518318411998987</v>
      </c>
      <c r="P40" s="64">
        <f ca="1">IF(M40&gt;0,N40*100/M40,0)</f>
        <v>34.510166130305677</v>
      </c>
    </row>
    <row r="41" spans="1:16" ht="19.5" x14ac:dyDescent="0.3">
      <c r="A41" s="65" t="s">
        <v>24</v>
      </c>
      <c r="B41" s="66"/>
      <c r="C41" s="66"/>
      <c r="D41" s="66"/>
      <c r="E41" s="66"/>
      <c r="F41" s="66"/>
      <c r="G41" s="66"/>
      <c r="H41" s="66"/>
      <c r="I41" s="67"/>
      <c r="J41" s="67"/>
      <c r="K41" s="68"/>
      <c r="L41" s="68"/>
      <c r="M41" s="68"/>
      <c r="N41" s="68"/>
      <c r="O41" s="68"/>
      <c r="P41" s="69"/>
    </row>
    <row r="42" spans="1:16" ht="19.5" x14ac:dyDescent="0.3">
      <c r="A42" s="70"/>
      <c r="B42" s="71" t="s">
        <v>25</v>
      </c>
      <c r="C42" s="70"/>
      <c r="D42" s="70"/>
      <c r="E42" s="70"/>
      <c r="F42" s="70"/>
      <c r="G42" s="72"/>
      <c r="H42" s="72"/>
      <c r="I42" s="73"/>
      <c r="J42" s="73"/>
      <c r="K42" s="74"/>
      <c r="L42" s="74"/>
      <c r="M42" s="74"/>
      <c r="N42" s="74"/>
      <c r="O42" s="74"/>
      <c r="P42" s="74"/>
    </row>
    <row r="43" spans="1:16" ht="12.75" hidden="1" x14ac:dyDescent="0.2">
      <c r="A43" s="15"/>
      <c r="B43" s="16"/>
      <c r="C43" s="16"/>
      <c r="D43" s="16"/>
      <c r="E43" s="16"/>
      <c r="F43" s="16"/>
      <c r="G43" s="17"/>
      <c r="H43" s="17"/>
      <c r="I43" s="18"/>
      <c r="J43" s="18"/>
      <c r="K43" s="19"/>
      <c r="L43" s="19"/>
      <c r="M43" s="19"/>
      <c r="N43" s="19"/>
      <c r="O43" s="19"/>
      <c r="P43" s="19"/>
    </row>
    <row r="44" spans="1:16" ht="19.5" x14ac:dyDescent="0.3">
      <c r="A44" s="75"/>
      <c r="B44" s="76"/>
      <c r="C44" s="77" t="s">
        <v>16</v>
      </c>
      <c r="D44" s="404" t="s">
        <v>17</v>
      </c>
      <c r="E44" s="76"/>
      <c r="F44" s="76"/>
      <c r="G44" s="79"/>
      <c r="H44" s="80" t="s">
        <v>12</v>
      </c>
      <c r="I44" s="81"/>
      <c r="J44" s="81"/>
      <c r="K44" s="82"/>
      <c r="L44" s="83">
        <f ca="1">L45+L46</f>
        <v>345850</v>
      </c>
      <c r="M44" s="83">
        <f ca="1">M45+M46</f>
        <v>345850</v>
      </c>
      <c r="N44" s="83">
        <f ca="1">N45+N46</f>
        <v>183450</v>
      </c>
      <c r="O44" s="83">
        <f ca="1">IF(L44&gt;0,N44*100/L44,0)</f>
        <v>53.04322683244181</v>
      </c>
      <c r="P44" s="83">
        <f ca="1">IF(M44&gt;0,N44*100/M44,0)</f>
        <v>53.04322683244181</v>
      </c>
    </row>
    <row r="45" spans="1:16" ht="18.75" hidden="1" x14ac:dyDescent="0.25">
      <c r="A45" s="75"/>
      <c r="B45" s="76"/>
      <c r="C45" s="76"/>
      <c r="D45" s="76"/>
      <c r="E45" s="84" t="s">
        <v>18</v>
      </c>
      <c r="F45" s="76"/>
      <c r="G45" s="79"/>
      <c r="H45" s="85" t="s">
        <v>12</v>
      </c>
      <c r="I45" s="81"/>
      <c r="J45" s="81"/>
      <c r="K45" s="82"/>
      <c r="L45" s="86">
        <f>L48+L51</f>
        <v>0</v>
      </c>
      <c r="M45" s="86">
        <f>M48+M51</f>
        <v>0</v>
      </c>
      <c r="N45" s="86">
        <f>N48+N51</f>
        <v>0</v>
      </c>
      <c r="O45" s="86">
        <f>IF(L45&gt;0,N45*100/L45,0)</f>
        <v>0</v>
      </c>
      <c r="P45" s="86">
        <f>IF(M45&gt;0,N45*100/M45,0)</f>
        <v>0</v>
      </c>
    </row>
    <row r="46" spans="1:16" ht="18.75" x14ac:dyDescent="0.25">
      <c r="A46" s="75"/>
      <c r="B46" s="76"/>
      <c r="C46" s="76"/>
      <c r="D46" s="76"/>
      <c r="E46" s="87" t="s">
        <v>19</v>
      </c>
      <c r="F46" s="76"/>
      <c r="G46" s="79"/>
      <c r="H46" s="88" t="s">
        <v>12</v>
      </c>
      <c r="I46" s="81"/>
      <c r="J46" s="81"/>
      <c r="K46" s="82"/>
      <c r="L46" s="89">
        <f ca="1">L49+L52</f>
        <v>345850</v>
      </c>
      <c r="M46" s="89">
        <f ca="1">M49+M52</f>
        <v>345850</v>
      </c>
      <c r="N46" s="89">
        <f ca="1">N49+N52</f>
        <v>183450</v>
      </c>
      <c r="O46" s="89">
        <f ca="1">IF(L46&gt;0,N46*100/L46,0)</f>
        <v>53.04322683244181</v>
      </c>
      <c r="P46" s="89">
        <f ca="1">IF(M46&gt;0,N46*100/M46,0)</f>
        <v>53.04322683244181</v>
      </c>
    </row>
    <row r="47" spans="1:16" ht="18.75" x14ac:dyDescent="0.25">
      <c r="A47" s="40"/>
      <c r="B47" s="41"/>
      <c r="C47" s="41"/>
      <c r="D47" s="42" t="s">
        <v>20</v>
      </c>
      <c r="E47" s="41"/>
      <c r="F47" s="41"/>
      <c r="G47" s="43"/>
      <c r="H47" s="44" t="s">
        <v>12</v>
      </c>
      <c r="I47" s="45"/>
      <c r="J47" s="45"/>
      <c r="K47" s="46"/>
      <c r="L47" s="47">
        <f ca="1">L48+L49</f>
        <v>345850</v>
      </c>
      <c r="M47" s="47">
        <f ca="1">M48+M49</f>
        <v>345850</v>
      </c>
      <c r="N47" s="47">
        <f ca="1">N48+N49</f>
        <v>183450</v>
      </c>
      <c r="O47" s="47">
        <f ca="1">IF(L47&gt;0,N47*100/L47,0)</f>
        <v>53.04322683244181</v>
      </c>
      <c r="P47" s="47">
        <f ca="1">IF(M47&gt;0,N47*100/M47,0)</f>
        <v>53.04322683244181</v>
      </c>
    </row>
    <row r="48" spans="1:16" ht="18.75" hidden="1" x14ac:dyDescent="0.25">
      <c r="A48" s="40"/>
      <c r="B48" s="41"/>
      <c r="C48" s="41"/>
      <c r="D48" s="41"/>
      <c r="E48" s="279" t="s">
        <v>18</v>
      </c>
      <c r="F48" s="41"/>
      <c r="G48" s="43"/>
      <c r="H48" s="49" t="s">
        <v>12</v>
      </c>
      <c r="I48" s="45"/>
      <c r="J48" s="45"/>
      <c r="K48" s="46"/>
      <c r="L48" s="50">
        <v>0</v>
      </c>
      <c r="M48" s="50">
        <v>0</v>
      </c>
      <c r="N48" s="50">
        <v>0</v>
      </c>
      <c r="O48" s="50">
        <f>IF(L48&gt;0,N48*100/L48,0)</f>
        <v>0</v>
      </c>
      <c r="P48" s="50">
        <f>IF(M48&gt;0,N48*100/M48,0)</f>
        <v>0</v>
      </c>
    </row>
    <row r="49" spans="1:16" ht="18.75" x14ac:dyDescent="0.25">
      <c r="A49" s="40"/>
      <c r="B49" s="41"/>
      <c r="C49" s="41"/>
      <c r="D49" s="41"/>
      <c r="E49" s="254" t="s">
        <v>19</v>
      </c>
      <c r="F49" s="41"/>
      <c r="G49" s="43"/>
      <c r="H49" s="44" t="s">
        <v>12</v>
      </c>
      <c r="I49" s="45"/>
      <c r="J49" s="45"/>
      <c r="K49" s="46"/>
      <c r="L49" s="47">
        <f ca="1">IFERROR(__xludf.DUMMYFUNCTION("IMPORTRANGE(""https://docs.google.com/spreadsheets/d/1-uDff_7J0KD5mKrp0Vvzr7lt3OU09vwQwhkpOPPYv2Y/edit?usp=sharing"",""งบพรบ!P23"")"),345850)</f>
        <v>345850</v>
      </c>
      <c r="M49" s="47">
        <f ca="1">IFERROR(__xludf.DUMMYFUNCTION("IMPORTRANGE(""https://docs.google.com/spreadsheets/d/1-uDff_7J0KD5mKrp0Vvzr7lt3OU09vwQwhkpOPPYv2Y/edit?usp=sharing"",""งบพรบ!V23"")"),345850)</f>
        <v>345850</v>
      </c>
      <c r="N49" s="47">
        <f ca="1">IFERROR(__xludf.DUMMYFUNCTION("IMPORTRANGE(""https://docs.google.com/spreadsheets/d/1-uDff_7J0KD5mKrp0Vvzr7lt3OU09vwQwhkpOPPYv2Y/edit?usp=sharing"",""งบพรบ!Y23"")"),183450)</f>
        <v>183450</v>
      </c>
      <c r="O49" s="47">
        <f ca="1">IF(L49&gt;0,N49*100/L49,0)</f>
        <v>53.04322683244181</v>
      </c>
      <c r="P49" s="47">
        <f ca="1">IF(M49&gt;0,N49*100/M49,0)</f>
        <v>53.04322683244181</v>
      </c>
    </row>
    <row r="50" spans="1:16" ht="18.75" x14ac:dyDescent="0.25">
      <c r="A50" s="40"/>
      <c r="B50" s="41"/>
      <c r="C50" s="41"/>
      <c r="D50" s="42" t="s">
        <v>21</v>
      </c>
      <c r="E50" s="41"/>
      <c r="F50" s="41"/>
      <c r="G50" s="43"/>
      <c r="H50" s="44" t="s">
        <v>12</v>
      </c>
      <c r="I50" s="45"/>
      <c r="J50" s="45"/>
      <c r="K50" s="46"/>
      <c r="L50" s="47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</row>
    <row r="51" spans="1:16" ht="18.75" hidden="1" x14ac:dyDescent="0.25">
      <c r="A51" s="40"/>
      <c r="B51" s="41"/>
      <c r="C51" s="41"/>
      <c r="D51" s="41"/>
      <c r="E51" s="279" t="s">
        <v>18</v>
      </c>
      <c r="F51" s="41"/>
      <c r="G51" s="43"/>
      <c r="H51" s="49" t="s">
        <v>12</v>
      </c>
      <c r="I51" s="45"/>
      <c r="J51" s="45"/>
      <c r="K51" s="46"/>
      <c r="L51" s="50">
        <v>0</v>
      </c>
      <c r="M51" s="50">
        <v>0</v>
      </c>
      <c r="N51" s="50">
        <v>0</v>
      </c>
      <c r="O51" s="50">
        <f>IF(L51&gt;0,N51*100/L51,0)</f>
        <v>0</v>
      </c>
      <c r="P51" s="50">
        <f>IF(M51&gt;0,N51*100/M51,0)</f>
        <v>0</v>
      </c>
    </row>
    <row r="52" spans="1:16" ht="18.75" x14ac:dyDescent="0.25">
      <c r="A52" s="40"/>
      <c r="B52" s="41"/>
      <c r="C52" s="41"/>
      <c r="D52" s="41"/>
      <c r="E52" s="254" t="s">
        <v>19</v>
      </c>
      <c r="F52" s="41"/>
      <c r="G52" s="43"/>
      <c r="H52" s="44" t="s">
        <v>12</v>
      </c>
      <c r="I52" s="45"/>
      <c r="J52" s="45"/>
      <c r="K52" s="46"/>
      <c r="L52" s="47">
        <f ca="1">IFERROR(__xludf.DUMMYFUNCTION("IMPORTRANGE(""https://docs.google.com/spreadsheets/d/1-uDff_7J0KD5mKrp0Vvzr7lt3OU09vwQwhkpOPPYv2Y/edit?usp=sharing"",""งบพรบ!S23"")"),0)</f>
        <v>0</v>
      </c>
      <c r="M52" s="47">
        <f ca="1">IFERROR(__xludf.DUMMYFUNCTION("IMPORTRANGE(""https://docs.google.com/spreadsheets/d/1-uDff_7J0KD5mKrp0Vvzr7lt3OU09vwQwhkpOPPYv2Y/edit?usp=sharing"",""งบพรบ!W23"")"),0)</f>
        <v>0</v>
      </c>
      <c r="N52" s="47">
        <f ca="1">IFERROR(__xludf.DUMMYFUNCTION("IMPORTRANGE(""https://docs.google.com/spreadsheets/d/1-uDff_7J0KD5mKrp0Vvzr7lt3OU09vwQwhkpOPPYv2Y/edit?usp=sharing"",""งบพรบ!Z23"")"),0)</f>
        <v>0</v>
      </c>
      <c r="O52" s="47">
        <f ca="1">IF(L52&gt;0,N52*100/L52,0)</f>
        <v>0</v>
      </c>
      <c r="P52" s="47">
        <f ca="1">IF(M52&gt;0,N52*100/M52,0)</f>
        <v>0</v>
      </c>
    </row>
    <row r="53" spans="1:16" ht="18.75" hidden="1" x14ac:dyDescent="0.25">
      <c r="A53" s="40"/>
      <c r="B53" s="41"/>
      <c r="C53" s="41"/>
      <c r="D53" s="42" t="s">
        <v>22</v>
      </c>
      <c r="E53" s="41"/>
      <c r="F53" s="41"/>
      <c r="G53" s="43"/>
      <c r="H53" s="44" t="s">
        <v>12</v>
      </c>
      <c r="I53" s="45"/>
      <c r="J53" s="45"/>
      <c r="K53" s="46"/>
      <c r="L53" s="47"/>
      <c r="M53" s="47"/>
      <c r="N53" s="47"/>
      <c r="O53" s="47"/>
      <c r="P53" s="47"/>
    </row>
    <row r="54" spans="1:16" ht="18.75" hidden="1" x14ac:dyDescent="0.25">
      <c r="A54" s="40"/>
      <c r="B54" s="41"/>
      <c r="C54" s="41"/>
      <c r="D54" s="41"/>
      <c r="E54" s="279" t="s">
        <v>18</v>
      </c>
      <c r="F54" s="41"/>
      <c r="G54" s="43"/>
      <c r="H54" s="49" t="s">
        <v>12</v>
      </c>
      <c r="I54" s="45"/>
      <c r="J54" s="45"/>
      <c r="K54" s="46"/>
      <c r="L54" s="50"/>
      <c r="M54" s="50"/>
      <c r="N54" s="50"/>
      <c r="O54" s="50"/>
      <c r="P54" s="50"/>
    </row>
    <row r="55" spans="1:16" ht="18.75" hidden="1" x14ac:dyDescent="0.25">
      <c r="A55" s="52"/>
      <c r="B55" s="1"/>
      <c r="C55" s="1"/>
      <c r="D55" s="1"/>
      <c r="E55" s="53" t="s">
        <v>19</v>
      </c>
      <c r="F55" s="1"/>
      <c r="G55" s="54"/>
      <c r="H55" s="55" t="s">
        <v>12</v>
      </c>
      <c r="I55" s="56"/>
      <c r="J55" s="56"/>
      <c r="K55" s="57"/>
      <c r="L55" s="58"/>
      <c r="M55" s="58"/>
      <c r="N55" s="58"/>
      <c r="O55" s="58"/>
      <c r="P55" s="58"/>
    </row>
    <row r="56" spans="1:16" ht="19.5" x14ac:dyDescent="0.3">
      <c r="A56" s="382" t="s">
        <v>26</v>
      </c>
      <c r="B56" s="379"/>
      <c r="C56" s="379"/>
      <c r="D56" s="379"/>
      <c r="E56" s="379"/>
      <c r="F56" s="379"/>
      <c r="G56" s="380"/>
      <c r="H56" s="90"/>
      <c r="I56" s="91"/>
      <c r="J56" s="91"/>
      <c r="K56" s="92"/>
      <c r="L56" s="92"/>
      <c r="M56" s="92"/>
      <c r="N56" s="92"/>
      <c r="O56" s="92"/>
      <c r="P56" s="93"/>
    </row>
    <row r="57" spans="1:16" ht="19.5" x14ac:dyDescent="0.3">
      <c r="A57" s="94"/>
      <c r="B57" s="383" t="s">
        <v>27</v>
      </c>
      <c r="C57" s="384"/>
      <c r="D57" s="384"/>
      <c r="E57" s="384"/>
      <c r="F57" s="384"/>
      <c r="G57" s="385"/>
      <c r="H57" s="95"/>
      <c r="I57" s="96"/>
      <c r="J57" s="96"/>
      <c r="K57" s="97"/>
      <c r="L57" s="97"/>
      <c r="M57" s="97"/>
      <c r="N57" s="97"/>
      <c r="O57" s="97"/>
      <c r="P57" s="97"/>
    </row>
    <row r="58" spans="1:16" ht="19.5" x14ac:dyDescent="0.3">
      <c r="A58" s="98"/>
      <c r="B58" s="99" t="s">
        <v>28</v>
      </c>
      <c r="C58" s="100"/>
      <c r="D58" s="100"/>
      <c r="E58" s="100"/>
      <c r="F58" s="100"/>
      <c r="G58" s="101"/>
      <c r="H58" s="101"/>
      <c r="I58" s="102"/>
      <c r="J58" s="102"/>
      <c r="K58" s="103"/>
      <c r="L58" s="103"/>
      <c r="M58" s="103"/>
      <c r="N58" s="103"/>
      <c r="O58" s="103"/>
      <c r="P58" s="103"/>
    </row>
    <row r="59" spans="1:16" ht="19.5" x14ac:dyDescent="0.3">
      <c r="A59" s="104"/>
      <c r="B59" s="105"/>
      <c r="C59" s="106" t="s">
        <v>16</v>
      </c>
      <c r="D59" s="403" t="s">
        <v>17</v>
      </c>
      <c r="E59" s="105"/>
      <c r="F59" s="105"/>
      <c r="G59" s="108"/>
      <c r="H59" s="109" t="s">
        <v>12</v>
      </c>
      <c r="I59" s="110"/>
      <c r="J59" s="110"/>
      <c r="K59" s="111"/>
      <c r="L59" s="112">
        <f ca="1">L60+L61</f>
        <v>549000</v>
      </c>
      <c r="M59" s="112">
        <f ca="1">M60+M61</f>
        <v>413750</v>
      </c>
      <c r="N59" s="112">
        <f ca="1">N60+N61</f>
        <v>243926.72</v>
      </c>
      <c r="O59" s="112">
        <f ca="1">IF(L59&gt;0,N59*100/L59,0)</f>
        <v>44.431096539162112</v>
      </c>
      <c r="P59" s="112">
        <f ca="1">IF(M59&gt;0,N59*100/M59,0)</f>
        <v>58.955098489425978</v>
      </c>
    </row>
    <row r="60" spans="1:16" ht="18.75" hidden="1" x14ac:dyDescent="0.25">
      <c r="A60" s="104"/>
      <c r="B60" s="105"/>
      <c r="C60" s="105"/>
      <c r="D60" s="105"/>
      <c r="E60" s="113" t="s">
        <v>18</v>
      </c>
      <c r="F60" s="105"/>
      <c r="G60" s="108"/>
      <c r="H60" s="114" t="s">
        <v>12</v>
      </c>
      <c r="I60" s="110"/>
      <c r="J60" s="110"/>
      <c r="K60" s="111"/>
      <c r="L60" s="115">
        <f>L63+L66</f>
        <v>0</v>
      </c>
      <c r="M60" s="115">
        <f>M63+M66</f>
        <v>0</v>
      </c>
      <c r="N60" s="115">
        <f>N63+N66</f>
        <v>0</v>
      </c>
      <c r="O60" s="115">
        <f>IF(L60&gt;0,N60*100/L60,0)</f>
        <v>0</v>
      </c>
      <c r="P60" s="115">
        <f>IF(M60&gt;0,N60*100/M60,0)</f>
        <v>0</v>
      </c>
    </row>
    <row r="61" spans="1:16" ht="18.75" x14ac:dyDescent="0.25">
      <c r="A61" s="104"/>
      <c r="B61" s="105"/>
      <c r="C61" s="105"/>
      <c r="D61" s="105"/>
      <c r="E61" s="116" t="s">
        <v>19</v>
      </c>
      <c r="F61" s="105"/>
      <c r="G61" s="108"/>
      <c r="H61" s="117" t="s">
        <v>12</v>
      </c>
      <c r="I61" s="110"/>
      <c r="J61" s="110"/>
      <c r="K61" s="111"/>
      <c r="L61" s="118">
        <f ca="1">L64+L67</f>
        <v>549000</v>
      </c>
      <c r="M61" s="118">
        <f ca="1">M64+M67</f>
        <v>413750</v>
      </c>
      <c r="N61" s="118">
        <f ca="1">N64+N67</f>
        <v>243926.72</v>
      </c>
      <c r="O61" s="118">
        <f ca="1">IF(L61&gt;0,N61*100/L61,0)</f>
        <v>44.431096539162112</v>
      </c>
      <c r="P61" s="118">
        <f ca="1">IF(M61&gt;0,N61*100/M61,0)</f>
        <v>58.955098489425978</v>
      </c>
    </row>
    <row r="62" spans="1:16" ht="18.75" x14ac:dyDescent="0.25">
      <c r="A62" s="40"/>
      <c r="B62" s="41"/>
      <c r="C62" s="41"/>
      <c r="D62" s="42" t="s">
        <v>20</v>
      </c>
      <c r="E62" s="41"/>
      <c r="F62" s="41"/>
      <c r="G62" s="43"/>
      <c r="H62" s="44" t="s">
        <v>12</v>
      </c>
      <c r="I62" s="45"/>
      <c r="J62" s="45"/>
      <c r="K62" s="46"/>
      <c r="L62" s="47">
        <f ca="1">L63+L64</f>
        <v>549000</v>
      </c>
      <c r="M62" s="47">
        <f ca="1">M63+M64</f>
        <v>413750</v>
      </c>
      <c r="N62" s="47">
        <f ca="1">N63+N64</f>
        <v>243926.72</v>
      </c>
      <c r="O62" s="47">
        <f ca="1">IF(L62&gt;0,N62*100/L62,0)</f>
        <v>44.431096539162112</v>
      </c>
      <c r="P62" s="47">
        <f ca="1">IF(M62&gt;0,N62*100/M62,0)</f>
        <v>58.955098489425978</v>
      </c>
    </row>
    <row r="63" spans="1:16" ht="18.75" hidden="1" x14ac:dyDescent="0.25">
      <c r="A63" s="40"/>
      <c r="B63" s="41"/>
      <c r="C63" s="41"/>
      <c r="D63" s="41"/>
      <c r="E63" s="279" t="s">
        <v>18</v>
      </c>
      <c r="F63" s="41"/>
      <c r="G63" s="43"/>
      <c r="H63" s="49" t="s">
        <v>12</v>
      </c>
      <c r="I63" s="45"/>
      <c r="J63" s="45"/>
      <c r="K63" s="46"/>
      <c r="L63" s="50">
        <v>0</v>
      </c>
      <c r="M63" s="50">
        <v>0</v>
      </c>
      <c r="N63" s="50">
        <v>0</v>
      </c>
      <c r="O63" s="50">
        <f>IF(L63&gt;0,N63*100/L63,0)</f>
        <v>0</v>
      </c>
      <c r="P63" s="50">
        <f>IF(M63&gt;0,N63*100/M63,0)</f>
        <v>0</v>
      </c>
    </row>
    <row r="64" spans="1:16" ht="18.75" x14ac:dyDescent="0.25">
      <c r="A64" s="40"/>
      <c r="B64" s="41"/>
      <c r="C64" s="41"/>
      <c r="D64" s="41"/>
      <c r="E64" s="254" t="s">
        <v>19</v>
      </c>
      <c r="F64" s="41"/>
      <c r="G64" s="43"/>
      <c r="H64" s="44" t="s">
        <v>12</v>
      </c>
      <c r="I64" s="45"/>
      <c r="J64" s="45"/>
      <c r="K64" s="46"/>
      <c r="L64" s="47">
        <f ca="1">IFERROR(__xludf.DUMMYFUNCTION("IMPORTRANGE(""https://docs.google.com/spreadsheets/d/1-uDff_7J0KD5mKrp0Vvzr7lt3OU09vwQwhkpOPPYv2Y/edit?usp=sharing"",""งบพรบ!AC23"")"),549000)</f>
        <v>549000</v>
      </c>
      <c r="M64" s="47">
        <f ca="1">IFERROR(__xludf.DUMMYFUNCTION("IMPORTRANGE(""https://docs.google.com/spreadsheets/d/1-uDff_7J0KD5mKrp0Vvzr7lt3OU09vwQwhkpOPPYv2Y/edit?usp=sharing"",""งบพรบ!AH23"")"),413750)</f>
        <v>413750</v>
      </c>
      <c r="N64" s="47">
        <f ca="1">IFERROR(__xludf.DUMMYFUNCTION("IMPORTRANGE(""https://docs.google.com/spreadsheets/d/1-uDff_7J0KD5mKrp0Vvzr7lt3OU09vwQwhkpOPPYv2Y/edit?usp=sharing"",""งบพรบ!AJ23"")"),243926.72)</f>
        <v>243926.72</v>
      </c>
      <c r="O64" s="47">
        <f ca="1">IF(L64&gt;0,N64*100/L64,0)</f>
        <v>44.431096539162112</v>
      </c>
      <c r="P64" s="47">
        <f ca="1">IF(M64&gt;0,N64*100/M64,0)</f>
        <v>58.955098489425978</v>
      </c>
    </row>
    <row r="65" spans="1:16" ht="18.75" x14ac:dyDescent="0.25">
      <c r="A65" s="40"/>
      <c r="B65" s="41"/>
      <c r="C65" s="41"/>
      <c r="D65" s="42" t="s">
        <v>21</v>
      </c>
      <c r="E65" s="41"/>
      <c r="F65" s="41"/>
      <c r="G65" s="43"/>
      <c r="H65" s="44" t="s">
        <v>12</v>
      </c>
      <c r="I65" s="45"/>
      <c r="J65" s="45"/>
      <c r="K65" s="46"/>
      <c r="L65" s="47">
        <f ca="1">L66+L67</f>
        <v>0</v>
      </c>
      <c r="M65" s="47">
        <f ca="1">M66+M67</f>
        <v>0</v>
      </c>
      <c r="N65" s="47">
        <f ca="1">N66+N67</f>
        <v>0</v>
      </c>
      <c r="O65" s="47">
        <f ca="1">IF(L65&gt;0,N65*100/L65,0)</f>
        <v>0</v>
      </c>
      <c r="P65" s="47">
        <f ca="1">IF(M65&gt;0,N65*100/M65,0)</f>
        <v>0</v>
      </c>
    </row>
    <row r="66" spans="1:16" ht="18.75" hidden="1" x14ac:dyDescent="0.25">
      <c r="A66" s="40"/>
      <c r="B66" s="41"/>
      <c r="C66" s="41"/>
      <c r="D66" s="41"/>
      <c r="E66" s="279" t="s">
        <v>18</v>
      </c>
      <c r="F66" s="41"/>
      <c r="G66" s="43"/>
      <c r="H66" s="49" t="s">
        <v>12</v>
      </c>
      <c r="I66" s="45"/>
      <c r="J66" s="45"/>
      <c r="K66" s="46"/>
      <c r="L66" s="50">
        <v>0</v>
      </c>
      <c r="M66" s="50">
        <v>0</v>
      </c>
      <c r="N66" s="50">
        <v>0</v>
      </c>
      <c r="O66" s="50">
        <f>IF(L66&gt;0,N66*100/L66,0)</f>
        <v>0</v>
      </c>
      <c r="P66" s="50">
        <f>IF(M66&gt;0,N66*100/M66,0)</f>
        <v>0</v>
      </c>
    </row>
    <row r="67" spans="1:16" ht="18.75" x14ac:dyDescent="0.25">
      <c r="A67" s="52"/>
      <c r="B67" s="1"/>
      <c r="C67" s="1"/>
      <c r="D67" s="1"/>
      <c r="E67" s="53" t="s">
        <v>19</v>
      </c>
      <c r="F67" s="1"/>
      <c r="G67" s="54"/>
      <c r="H67" s="55" t="s">
        <v>12</v>
      </c>
      <c r="I67" s="56"/>
      <c r="J67" s="56"/>
      <c r="K67" s="57"/>
      <c r="L67" s="58">
        <f ca="1">IFERROR(__xludf.DUMMYFUNCTION("IMPORTRANGE(""https://docs.google.com/spreadsheets/d/1-uDff_7J0KD5mKrp0Vvzr7lt3OU09vwQwhkpOPPYv2Y/edit?usp=sharing"",""งบพรบ!AF23"")"),0)</f>
        <v>0</v>
      </c>
      <c r="M67" s="58">
        <f ca="1">IFERROR(__xludf.DUMMYFUNCTION("IMPORTRANGE(""https://docs.google.com/spreadsheets/d/1-uDff_7J0KD5mKrp0Vvzr7lt3OU09vwQwhkpOPPYv2Y/edit?usp=sharing"",""งบพรบ!AI23"")"),0)</f>
        <v>0</v>
      </c>
      <c r="N67" s="58">
        <f ca="1">IFERROR(__xludf.DUMMYFUNCTION("IMPORTRANGE(""https://docs.google.com/spreadsheets/d/1-uDff_7J0KD5mKrp0Vvzr7lt3OU09vwQwhkpOPPYv2Y/edit?usp=sharing"",""งบพรบ!AK23"")"),0)</f>
        <v>0</v>
      </c>
      <c r="O67" s="58">
        <f ca="1">IF(L67&gt;0,N67*100/L67,0)</f>
        <v>0</v>
      </c>
      <c r="P67" s="58">
        <f ca="1">IF(M67&gt;0,N67*100/M67,0)</f>
        <v>0</v>
      </c>
    </row>
    <row r="68" spans="1:16" ht="19.5" hidden="1" x14ac:dyDescent="0.3">
      <c r="A68" s="119" t="s">
        <v>29</v>
      </c>
      <c r="B68" s="120"/>
      <c r="C68" s="120"/>
      <c r="D68" s="120"/>
      <c r="E68" s="121"/>
      <c r="F68" s="121"/>
      <c r="G68" s="121"/>
      <c r="H68" s="121"/>
      <c r="I68" s="122"/>
      <c r="J68" s="122"/>
      <c r="K68" s="123"/>
      <c r="L68" s="123"/>
      <c r="M68" s="123"/>
      <c r="N68" s="123"/>
      <c r="O68" s="123"/>
      <c r="P68" s="124"/>
    </row>
    <row r="69" spans="1:16" ht="19.5" hidden="1" x14ac:dyDescent="0.3">
      <c r="A69" s="125" t="s">
        <v>30</v>
      </c>
      <c r="B69" s="126"/>
      <c r="C69" s="127"/>
      <c r="D69" s="126"/>
      <c r="E69" s="126"/>
      <c r="F69" s="126"/>
      <c r="G69" s="128"/>
      <c r="H69" s="128"/>
      <c r="I69" s="129"/>
      <c r="J69" s="129"/>
      <c r="K69" s="130"/>
      <c r="L69" s="130"/>
      <c r="M69" s="130"/>
      <c r="N69" s="130"/>
      <c r="O69" s="130"/>
      <c r="P69" s="130"/>
    </row>
    <row r="70" spans="1:16" ht="19.5" hidden="1" x14ac:dyDescent="0.3">
      <c r="A70" s="131"/>
      <c r="B70" s="132" t="s">
        <v>31</v>
      </c>
      <c r="C70" s="26"/>
      <c r="D70" s="133"/>
      <c r="E70" s="26"/>
      <c r="F70" s="26"/>
      <c r="G70" s="29"/>
      <c r="H70" s="134" t="s">
        <v>32</v>
      </c>
      <c r="I70" s="135">
        <f ca="1">I82</f>
        <v>0</v>
      </c>
      <c r="J70" s="135">
        <f>J82</f>
        <v>0</v>
      </c>
      <c r="K70" s="33">
        <f ca="1">IF(I70&gt;0,J70*100/I70,0)</f>
        <v>0</v>
      </c>
      <c r="L70" s="32"/>
      <c r="M70" s="32"/>
      <c r="N70" s="32"/>
      <c r="O70" s="32"/>
      <c r="P70" s="32"/>
    </row>
    <row r="71" spans="1:16" ht="19.5" hidden="1" x14ac:dyDescent="0.3">
      <c r="A71" s="131"/>
      <c r="B71" s="26"/>
      <c r="C71" s="26"/>
      <c r="D71" s="133"/>
      <c r="E71" s="26"/>
      <c r="F71" s="26"/>
      <c r="G71" s="29"/>
      <c r="H71" s="134" t="s">
        <v>33</v>
      </c>
      <c r="I71" s="135">
        <f ca="1">I83</f>
        <v>0</v>
      </c>
      <c r="J71" s="135">
        <f>J83</f>
        <v>0</v>
      </c>
      <c r="K71" s="33">
        <f ca="1">IF(I71&gt;0,J71*100/I71,0)</f>
        <v>0</v>
      </c>
      <c r="L71" s="32"/>
      <c r="M71" s="32"/>
      <c r="N71" s="32"/>
      <c r="O71" s="32"/>
      <c r="P71" s="32"/>
    </row>
    <row r="72" spans="1:16" ht="19.5" hidden="1" x14ac:dyDescent="0.3">
      <c r="A72" s="136"/>
      <c r="B72" s="41"/>
      <c r="C72" s="197" t="s">
        <v>16</v>
      </c>
      <c r="D72" s="397" t="s">
        <v>17</v>
      </c>
      <c r="E72" s="41"/>
      <c r="F72" s="41"/>
      <c r="G72" s="43"/>
      <c r="H72" s="139" t="s">
        <v>12</v>
      </c>
      <c r="I72" s="45"/>
      <c r="J72" s="45"/>
      <c r="K72" s="46"/>
      <c r="L72" s="140">
        <f ca="1">L73+L74</f>
        <v>0</v>
      </c>
      <c r="M72" s="140">
        <f ca="1">M73+M74</f>
        <v>0</v>
      </c>
      <c r="N72" s="140">
        <f ca="1">N73+N74</f>
        <v>0</v>
      </c>
      <c r="O72" s="140">
        <f ca="1">IF(L72&gt;0,N72*100/L72,0)</f>
        <v>0</v>
      </c>
      <c r="P72" s="140">
        <f ca="1">IF(M72&gt;0,N72*100/M72,0)</f>
        <v>0</v>
      </c>
    </row>
    <row r="73" spans="1:16" ht="18.75" hidden="1" x14ac:dyDescent="0.25">
      <c r="A73" s="136"/>
      <c r="B73" s="41"/>
      <c r="C73" s="41"/>
      <c r="D73" s="41"/>
      <c r="E73" s="279" t="s">
        <v>18</v>
      </c>
      <c r="F73" s="41"/>
      <c r="G73" s="43"/>
      <c r="H73" s="141" t="s">
        <v>12</v>
      </c>
      <c r="I73" s="45"/>
      <c r="J73" s="45"/>
      <c r="K73" s="46"/>
      <c r="L73" s="50">
        <f>L76+L79</f>
        <v>0</v>
      </c>
      <c r="M73" s="50">
        <f>M76+M79</f>
        <v>0</v>
      </c>
      <c r="N73" s="50">
        <f>N76+N79</f>
        <v>0</v>
      </c>
      <c r="O73" s="50">
        <f>IF(L73&gt;0,N73*100/L73,0)</f>
        <v>0</v>
      </c>
      <c r="P73" s="50">
        <f>IF(M73&gt;0,N73*100/M73,0)</f>
        <v>0</v>
      </c>
    </row>
    <row r="74" spans="1:16" ht="18.75" hidden="1" x14ac:dyDescent="0.25">
      <c r="A74" s="136"/>
      <c r="B74" s="41"/>
      <c r="C74" s="41"/>
      <c r="D74" s="41"/>
      <c r="E74" s="254" t="s">
        <v>19</v>
      </c>
      <c r="F74" s="41"/>
      <c r="G74" s="43"/>
      <c r="H74" s="142" t="s">
        <v>12</v>
      </c>
      <c r="I74" s="45"/>
      <c r="J74" s="45"/>
      <c r="K74" s="46"/>
      <c r="L74" s="47">
        <f ca="1">L77+L80</f>
        <v>0</v>
      </c>
      <c r="M74" s="47">
        <f ca="1">M77+M80</f>
        <v>0</v>
      </c>
      <c r="N74" s="47">
        <f ca="1">N77+N80</f>
        <v>0</v>
      </c>
      <c r="O74" s="47">
        <f ca="1">IF(L74&gt;0,N74*100/L74,0)</f>
        <v>0</v>
      </c>
      <c r="P74" s="47">
        <f ca="1">IF(M74&gt;0,N74*100/M74,0)</f>
        <v>0</v>
      </c>
    </row>
    <row r="75" spans="1:16" ht="18.75" hidden="1" x14ac:dyDescent="0.25">
      <c r="A75" s="136"/>
      <c r="B75" s="41"/>
      <c r="C75" s="41"/>
      <c r="D75" s="42" t="s">
        <v>20</v>
      </c>
      <c r="E75" s="41"/>
      <c r="F75" s="41"/>
      <c r="G75" s="43"/>
      <c r="H75" s="143" t="s">
        <v>12</v>
      </c>
      <c r="I75" s="144"/>
      <c r="J75" s="144"/>
      <c r="K75" s="145"/>
      <c r="L75" s="47">
        <f ca="1">L76+L77</f>
        <v>0</v>
      </c>
      <c r="M75" s="47">
        <f ca="1">M76+M77</f>
        <v>0</v>
      </c>
      <c r="N75" s="47">
        <f ca="1">N76+N77</f>
        <v>0</v>
      </c>
      <c r="O75" s="47">
        <f ca="1">IF(L75&gt;0,N75*100/L75,0)</f>
        <v>0</v>
      </c>
      <c r="P75" s="47">
        <f ca="1">IF(M75&gt;0,N75*100/M75,0)</f>
        <v>0</v>
      </c>
    </row>
    <row r="76" spans="1:16" ht="18.75" hidden="1" x14ac:dyDescent="0.25">
      <c r="A76" s="136"/>
      <c r="B76" s="41"/>
      <c r="C76" s="41"/>
      <c r="D76" s="41"/>
      <c r="E76" s="279" t="s">
        <v>34</v>
      </c>
      <c r="F76" s="41"/>
      <c r="G76" s="43"/>
      <c r="H76" s="146" t="s">
        <v>12</v>
      </c>
      <c r="I76" s="144"/>
      <c r="J76" s="144"/>
      <c r="K76" s="145"/>
      <c r="L76" s="50">
        <v>0</v>
      </c>
      <c r="M76" s="50">
        <v>0</v>
      </c>
      <c r="N76" s="50">
        <v>0</v>
      </c>
      <c r="O76" s="50">
        <f>IF(L76&gt;0,N76*100/L76,0)</f>
        <v>0</v>
      </c>
      <c r="P76" s="50">
        <f>IF(M76&gt;0,N76*100/M76,0)</f>
        <v>0</v>
      </c>
    </row>
    <row r="77" spans="1:16" ht="18.75" hidden="1" x14ac:dyDescent="0.25">
      <c r="A77" s="136"/>
      <c r="B77" s="41"/>
      <c r="C77" s="41"/>
      <c r="D77" s="41"/>
      <c r="E77" s="254" t="s">
        <v>35</v>
      </c>
      <c r="F77" s="41"/>
      <c r="G77" s="43"/>
      <c r="H77" s="143" t="s">
        <v>12</v>
      </c>
      <c r="I77" s="144"/>
      <c r="J77" s="144"/>
      <c r="K77" s="145"/>
      <c r="L77" s="47">
        <f ca="1">IFERROR(__xludf.DUMMYFUNCTION("IMPORTRANGE(""https://docs.google.com/spreadsheets/d/1-uDff_7J0KD5mKrp0Vvzr7lt3OU09vwQwhkpOPPYv2Y/edit?usp=sharing"",""งบพรบ!AM23"")"),0)</f>
        <v>0</v>
      </c>
      <c r="M77" s="47">
        <f ca="1">IFERROR(__xludf.DUMMYFUNCTION("IMPORTRANGE(""https://docs.google.com/spreadsheets/d/1-uDff_7J0KD5mKrp0Vvzr7lt3OU09vwQwhkpOPPYv2Y/edit?usp=sharing"",""งบพรบ!AR23"")"),0)</f>
        <v>0</v>
      </c>
      <c r="N77" s="47">
        <f ca="1">IFERROR(__xludf.DUMMYFUNCTION("IMPORTRANGE(""https://docs.google.com/spreadsheets/d/1-uDff_7J0KD5mKrp0Vvzr7lt3OU09vwQwhkpOPPYv2Y/edit?usp=sharing"",""งบพรบ!AT23"")"),0)</f>
        <v>0</v>
      </c>
      <c r="O77" s="47">
        <f ca="1">IF(L77&gt;0,N77*100/L77,0)</f>
        <v>0</v>
      </c>
      <c r="P77" s="47">
        <f ca="1">IF(M77&gt;0,N77*100/M77,0)</f>
        <v>0</v>
      </c>
    </row>
    <row r="78" spans="1:16" ht="18.75" hidden="1" x14ac:dyDescent="0.25">
      <c r="A78" s="136"/>
      <c r="B78" s="41"/>
      <c r="C78" s="41"/>
      <c r="D78" s="42" t="s">
        <v>21</v>
      </c>
      <c r="E78" s="41"/>
      <c r="F78" s="41"/>
      <c r="G78" s="43"/>
      <c r="H78" s="147" t="s">
        <v>12</v>
      </c>
      <c r="I78" s="144"/>
      <c r="J78" s="144"/>
      <c r="K78" s="145"/>
      <c r="L78" s="47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</row>
    <row r="79" spans="1:16" ht="18.75" hidden="1" x14ac:dyDescent="0.25">
      <c r="A79" s="136"/>
      <c r="B79" s="41"/>
      <c r="C79" s="41"/>
      <c r="D79" s="41"/>
      <c r="E79" s="279" t="s">
        <v>18</v>
      </c>
      <c r="F79" s="41"/>
      <c r="G79" s="43"/>
      <c r="H79" s="146" t="s">
        <v>12</v>
      </c>
      <c r="I79" s="144"/>
      <c r="J79" s="144"/>
      <c r="K79" s="145"/>
      <c r="L79" s="50">
        <v>0</v>
      </c>
      <c r="M79" s="46"/>
      <c r="N79" s="46"/>
      <c r="O79" s="50">
        <f>IF(L79&gt;0,N79*100/L79,0)</f>
        <v>0</v>
      </c>
      <c r="P79" s="50">
        <f>IF(M79&gt;0,N79*100/M79,0)</f>
        <v>0</v>
      </c>
    </row>
    <row r="80" spans="1:16" ht="18.75" hidden="1" x14ac:dyDescent="0.25">
      <c r="A80" s="136"/>
      <c r="B80" s="41"/>
      <c r="C80" s="41"/>
      <c r="D80" s="41"/>
      <c r="E80" s="254" t="s">
        <v>19</v>
      </c>
      <c r="F80" s="41"/>
      <c r="G80" s="43"/>
      <c r="H80" s="147" t="s">
        <v>12</v>
      </c>
      <c r="I80" s="144"/>
      <c r="J80" s="144"/>
      <c r="K80" s="145"/>
      <c r="L80" s="47">
        <f ca="1">IFERROR(__xludf.DUMMYFUNCTION("IMPORTRANGE(""https://docs.google.com/spreadsheets/d/1-uDff_7J0KD5mKrp0Vvzr7lt3OU09vwQwhkpOPPYv2Y/edit?usp=sharing"",""งบพรบ!AP23"")"),0)</f>
        <v>0</v>
      </c>
      <c r="M80" s="47">
        <f ca="1">IFERROR(__xludf.DUMMYFUNCTION("IMPORTRANGE(""https://docs.google.com/spreadsheets/d/1-uDff_7J0KD5mKrp0Vvzr7lt3OU09vwQwhkpOPPYv2Y/edit?usp=sharing"",""งบพรบ!AS23"")"),0)</f>
        <v>0</v>
      </c>
      <c r="N80" s="47">
        <f ca="1">IFERROR(__xludf.DUMMYFUNCTION("IMPORTRANGE(""https://docs.google.com/spreadsheets/d/1-uDff_7J0KD5mKrp0Vvzr7lt3OU09vwQwhkpOPPYv2Y/edit?usp=sharing"",""งบพรบ!AU23"")"),0)</f>
        <v>0</v>
      </c>
      <c r="O80" s="47">
        <f ca="1">IF(L80&gt;0,N80*100/L80,0)</f>
        <v>0</v>
      </c>
      <c r="P80" s="47">
        <f ca="1">IF(M80&gt;0,N80*100/M80,0)</f>
        <v>0</v>
      </c>
    </row>
    <row r="81" spans="1:16" ht="19.5" hidden="1" x14ac:dyDescent="0.3">
      <c r="A81" s="148"/>
      <c r="B81" s="149"/>
      <c r="C81" s="197" t="s">
        <v>16</v>
      </c>
      <c r="D81" s="395" t="s">
        <v>36</v>
      </c>
      <c r="E81" s="151"/>
      <c r="F81" s="151"/>
      <c r="G81" s="152"/>
      <c r="H81" s="153"/>
      <c r="I81" s="144"/>
      <c r="J81" s="144"/>
      <c r="K81" s="145"/>
      <c r="L81" s="145"/>
      <c r="M81" s="145"/>
      <c r="N81" s="145"/>
      <c r="O81" s="145"/>
      <c r="P81" s="145"/>
    </row>
    <row r="82" spans="1:16" ht="19.5" hidden="1" x14ac:dyDescent="0.3">
      <c r="A82" s="148"/>
      <c r="B82" s="149"/>
      <c r="C82" s="149"/>
      <c r="D82" s="154" t="s">
        <v>37</v>
      </c>
      <c r="E82" s="155"/>
      <c r="F82" s="155"/>
      <c r="G82" s="153"/>
      <c r="H82" s="156" t="s">
        <v>32</v>
      </c>
      <c r="I82" s="157">
        <f ca="1">I84+I86+I88</f>
        <v>0</v>
      </c>
      <c r="J82" s="157">
        <f>J84+J86+J88</f>
        <v>0</v>
      </c>
      <c r="K82" s="158">
        <f ca="1">IF(I82&gt;0,J82*100/I82,0)</f>
        <v>0</v>
      </c>
      <c r="L82" s="145"/>
      <c r="M82" s="145"/>
      <c r="N82" s="145"/>
      <c r="O82" s="145"/>
      <c r="P82" s="145"/>
    </row>
    <row r="83" spans="1:16" ht="19.5" hidden="1" x14ac:dyDescent="0.3">
      <c r="A83" s="148"/>
      <c r="B83" s="149"/>
      <c r="C83" s="149"/>
      <c r="D83" s="149"/>
      <c r="E83" s="155"/>
      <c r="F83" s="155"/>
      <c r="G83" s="153"/>
      <c r="H83" s="156" t="s">
        <v>33</v>
      </c>
      <c r="I83" s="157">
        <f ca="1">I85+I87+I89</f>
        <v>0</v>
      </c>
      <c r="J83" s="157">
        <f>J85+J87+J89</f>
        <v>0</v>
      </c>
      <c r="K83" s="158">
        <f ca="1">IF(I83&gt;0,J83*100/I83,0)</f>
        <v>0</v>
      </c>
      <c r="L83" s="145"/>
      <c r="M83" s="145"/>
      <c r="N83" s="145"/>
      <c r="O83" s="145"/>
      <c r="P83" s="145"/>
    </row>
    <row r="84" spans="1:16" ht="18.75" hidden="1" x14ac:dyDescent="0.25">
      <c r="A84" s="148"/>
      <c r="B84" s="149"/>
      <c r="C84" s="149"/>
      <c r="D84" s="149"/>
      <c r="E84" s="159" t="s">
        <v>38</v>
      </c>
      <c r="F84" s="155"/>
      <c r="G84" s="153"/>
      <c r="H84" s="251" t="s">
        <v>32</v>
      </c>
      <c r="I84" s="161">
        <f ca="1">IFERROR(__xludf.DUMMYFUNCTION("IMPORTRANGE(""https://docs.google.com/spreadsheets/d/1eHaY18a8A9IcSdp1K8H6x8fbOy06t2VsZHhMHf-1x7Y/edit?usp=sharing"",""แผน!H23"")"),0)</f>
        <v>0</v>
      </c>
      <c r="J84" s="250">
        <v>0</v>
      </c>
      <c r="K84" s="163">
        <f ca="1">IF(I84&gt;0,J84*100/I84,0)</f>
        <v>0</v>
      </c>
      <c r="L84" s="145"/>
      <c r="M84" s="145"/>
      <c r="N84" s="145"/>
      <c r="O84" s="145"/>
      <c r="P84" s="145"/>
    </row>
    <row r="85" spans="1:16" ht="18.75" hidden="1" x14ac:dyDescent="0.25">
      <c r="A85" s="148"/>
      <c r="B85" s="149"/>
      <c r="C85" s="149"/>
      <c r="D85" s="149"/>
      <c r="E85" s="155"/>
      <c r="F85" s="155"/>
      <c r="G85" s="153"/>
      <c r="H85" s="251" t="s">
        <v>33</v>
      </c>
      <c r="I85" s="161">
        <f ca="1">IFERROR(__xludf.DUMMYFUNCTION("IMPORTRANGE(""https://docs.google.com/spreadsheets/d/1eHaY18a8A9IcSdp1K8H6x8fbOy06t2VsZHhMHf-1x7Y/edit?usp=sharing"",""แผน!I23"")"),0)</f>
        <v>0</v>
      </c>
      <c r="J85" s="250">
        <v>0</v>
      </c>
      <c r="K85" s="163">
        <f ca="1">IF(I85&gt;0,J85*100/I85,0)</f>
        <v>0</v>
      </c>
      <c r="L85" s="145"/>
      <c r="M85" s="145"/>
      <c r="N85" s="145"/>
      <c r="O85" s="145"/>
      <c r="P85" s="145"/>
    </row>
    <row r="86" spans="1:16" ht="18.75" hidden="1" x14ac:dyDescent="0.25">
      <c r="A86" s="148"/>
      <c r="B86" s="149"/>
      <c r="C86" s="149"/>
      <c r="D86" s="149"/>
      <c r="E86" s="159" t="s">
        <v>39</v>
      </c>
      <c r="F86" s="155"/>
      <c r="G86" s="153"/>
      <c r="H86" s="251" t="s">
        <v>32</v>
      </c>
      <c r="I86" s="161">
        <f ca="1">IFERROR(__xludf.DUMMYFUNCTION("IMPORTRANGE(""https://docs.google.com/spreadsheets/d/1eHaY18a8A9IcSdp1K8H6x8fbOy06t2VsZHhMHf-1x7Y/edit?usp=sharing"",""แผน!F23"")"),0)</f>
        <v>0</v>
      </c>
      <c r="J86" s="250">
        <v>0</v>
      </c>
      <c r="K86" s="163">
        <f ca="1">IF(I86&gt;0,J86*100/I86,0)</f>
        <v>0</v>
      </c>
      <c r="L86" s="145"/>
      <c r="M86" s="145"/>
      <c r="N86" s="145"/>
      <c r="O86" s="145"/>
      <c r="P86" s="145"/>
    </row>
    <row r="87" spans="1:16" ht="18.75" hidden="1" x14ac:dyDescent="0.25">
      <c r="A87" s="148"/>
      <c r="B87" s="149"/>
      <c r="C87" s="149"/>
      <c r="D87" s="149"/>
      <c r="E87" s="155"/>
      <c r="F87" s="155"/>
      <c r="G87" s="153"/>
      <c r="H87" s="251" t="s">
        <v>33</v>
      </c>
      <c r="I87" s="161">
        <f ca="1">IFERROR(__xludf.DUMMYFUNCTION("IMPORTRANGE(""https://docs.google.com/spreadsheets/d/1eHaY18a8A9IcSdp1K8H6x8fbOy06t2VsZHhMHf-1x7Y/edit?usp=sharing"",""แผน!G23"")"),0)</f>
        <v>0</v>
      </c>
      <c r="J87" s="250">
        <v>0</v>
      </c>
      <c r="K87" s="163">
        <f ca="1">IF(I87&gt;0,J87*100/I87,0)</f>
        <v>0</v>
      </c>
      <c r="L87" s="145"/>
      <c r="M87" s="145"/>
      <c r="N87" s="145"/>
      <c r="O87" s="145"/>
      <c r="P87" s="145"/>
    </row>
    <row r="88" spans="1:16" ht="18.75" hidden="1" x14ac:dyDescent="0.25">
      <c r="A88" s="148"/>
      <c r="B88" s="149"/>
      <c r="C88" s="149"/>
      <c r="D88" s="149"/>
      <c r="E88" s="159" t="s">
        <v>40</v>
      </c>
      <c r="F88" s="155"/>
      <c r="G88" s="153"/>
      <c r="H88" s="251" t="s">
        <v>32</v>
      </c>
      <c r="I88" s="161">
        <f ca="1">IFERROR(__xludf.DUMMYFUNCTION("IMPORTRANGE(""https://docs.google.com/spreadsheets/d/1eHaY18a8A9IcSdp1K8H6x8fbOy06t2VsZHhMHf-1x7Y/edit?usp=sharing"",""แผน!D23"")"),0)</f>
        <v>0</v>
      </c>
      <c r="J88" s="250">
        <v>0</v>
      </c>
      <c r="K88" s="163">
        <f ca="1">IF(I88&gt;0,J88*100/I88,0)</f>
        <v>0</v>
      </c>
      <c r="L88" s="145"/>
      <c r="M88" s="145"/>
      <c r="N88" s="145"/>
      <c r="O88" s="145"/>
      <c r="P88" s="145"/>
    </row>
    <row r="89" spans="1:16" ht="18.75" hidden="1" x14ac:dyDescent="0.25">
      <c r="A89" s="148"/>
      <c r="B89" s="149"/>
      <c r="C89" s="149"/>
      <c r="D89" s="149"/>
      <c r="E89" s="155"/>
      <c r="F89" s="155"/>
      <c r="G89" s="153"/>
      <c r="H89" s="251" t="s">
        <v>33</v>
      </c>
      <c r="I89" s="161">
        <f ca="1">IFERROR(__xludf.DUMMYFUNCTION("IMPORTRANGE(""https://docs.google.com/spreadsheets/d/1eHaY18a8A9IcSdp1K8H6x8fbOy06t2VsZHhMHf-1x7Y/edit?usp=sharing"",""แผน!E23"")"),0)</f>
        <v>0</v>
      </c>
      <c r="J89" s="250">
        <v>0</v>
      </c>
      <c r="K89" s="163">
        <f ca="1">IF(I89&gt;0,J89*100/I89,0)</f>
        <v>0</v>
      </c>
      <c r="L89" s="145"/>
      <c r="M89" s="145"/>
      <c r="N89" s="145"/>
      <c r="O89" s="145"/>
      <c r="P89" s="145"/>
    </row>
    <row r="90" spans="1:16" ht="18.75" hidden="1" x14ac:dyDescent="0.25">
      <c r="A90" s="148"/>
      <c r="B90" s="149"/>
      <c r="C90" s="149"/>
      <c r="D90" s="154" t="s">
        <v>41</v>
      </c>
      <c r="E90" s="155"/>
      <c r="F90" s="155"/>
      <c r="G90" s="153"/>
      <c r="H90" s="164" t="s">
        <v>32</v>
      </c>
      <c r="I90" s="161">
        <f ca="1">IFERROR(__xludf.DUMMYFUNCTION("IMPORTRANGE(""https://docs.google.com/spreadsheets/d/1eHaY18a8A9IcSdp1K8H6x8fbOy06t2VsZHhMHf-1x7Y/edit?usp=sharing"",""แผน!J23"")"),0)</f>
        <v>0</v>
      </c>
      <c r="J90" s="250">
        <v>0</v>
      </c>
      <c r="K90" s="163">
        <f ca="1">IF(I90&gt;0,J90*100/I90,0)</f>
        <v>0</v>
      </c>
      <c r="L90" s="145"/>
      <c r="M90" s="145"/>
      <c r="N90" s="145"/>
      <c r="O90" s="145"/>
      <c r="P90" s="145"/>
    </row>
    <row r="91" spans="1:16" ht="19.5" hidden="1" x14ac:dyDescent="0.3">
      <c r="A91" s="125" t="s">
        <v>42</v>
      </c>
      <c r="B91" s="126"/>
      <c r="C91" s="127"/>
      <c r="D91" s="126"/>
      <c r="E91" s="126"/>
      <c r="F91" s="126"/>
      <c r="G91" s="128"/>
      <c r="H91" s="128"/>
      <c r="I91" s="129"/>
      <c r="J91" s="129"/>
      <c r="K91" s="130"/>
      <c r="L91" s="130"/>
      <c r="M91" s="130"/>
      <c r="N91" s="130"/>
      <c r="O91" s="130"/>
      <c r="P91" s="130"/>
    </row>
    <row r="92" spans="1:16" ht="19.5" hidden="1" x14ac:dyDescent="0.3">
      <c r="A92" s="131"/>
      <c r="B92" s="132" t="s">
        <v>43</v>
      </c>
      <c r="C92" s="26"/>
      <c r="D92" s="133"/>
      <c r="E92" s="26"/>
      <c r="F92" s="26"/>
      <c r="G92" s="29"/>
      <c r="H92" s="134" t="s">
        <v>44</v>
      </c>
      <c r="I92" s="135">
        <f ca="1">I108</f>
        <v>0</v>
      </c>
      <c r="J92" s="135">
        <f>J108</f>
        <v>0</v>
      </c>
      <c r="K92" s="33">
        <f ca="1">IF(I92&gt;0,J92*100/I92,0)</f>
        <v>0</v>
      </c>
      <c r="L92" s="32"/>
      <c r="M92" s="32"/>
      <c r="N92" s="32"/>
      <c r="O92" s="32"/>
      <c r="P92" s="32"/>
    </row>
    <row r="93" spans="1:16" ht="19.5" hidden="1" x14ac:dyDescent="0.3">
      <c r="A93" s="131"/>
      <c r="B93" s="26"/>
      <c r="C93" s="26"/>
      <c r="D93" s="133"/>
      <c r="E93" s="26"/>
      <c r="F93" s="26"/>
      <c r="G93" s="29"/>
      <c r="H93" s="134" t="s">
        <v>33</v>
      </c>
      <c r="I93" s="135">
        <f ca="1">I109</f>
        <v>0</v>
      </c>
      <c r="J93" s="135">
        <f>J109</f>
        <v>0</v>
      </c>
      <c r="K93" s="33">
        <f ca="1">IF(I93&gt;0,J93*100/I93,0)</f>
        <v>0</v>
      </c>
      <c r="L93" s="32"/>
      <c r="M93" s="32"/>
      <c r="N93" s="32"/>
      <c r="O93" s="32"/>
      <c r="P93" s="32"/>
    </row>
    <row r="94" spans="1:16" ht="19.5" hidden="1" x14ac:dyDescent="0.3">
      <c r="A94" s="136"/>
      <c r="B94" s="41"/>
      <c r="C94" s="197" t="s">
        <v>16</v>
      </c>
      <c r="D94" s="397" t="s">
        <v>17</v>
      </c>
      <c r="E94" s="41"/>
      <c r="F94" s="41"/>
      <c r="G94" s="43"/>
      <c r="H94" s="139" t="s">
        <v>12</v>
      </c>
      <c r="I94" s="45"/>
      <c r="J94" s="45"/>
      <c r="K94" s="46"/>
      <c r="L94" s="140">
        <f ca="1">L95+L96</f>
        <v>0</v>
      </c>
      <c r="M94" s="140">
        <f ca="1">M95+M96</f>
        <v>0</v>
      </c>
      <c r="N94" s="140">
        <f ca="1">N95+N96</f>
        <v>0</v>
      </c>
      <c r="O94" s="140">
        <f ca="1">IF(L94&gt;0,N94*100/L94,0)</f>
        <v>0</v>
      </c>
      <c r="P94" s="140">
        <f ca="1">IF(M94&gt;0,N94*100/M94,0)</f>
        <v>0</v>
      </c>
    </row>
    <row r="95" spans="1:16" ht="18.75" hidden="1" x14ac:dyDescent="0.25">
      <c r="A95" s="136"/>
      <c r="B95" s="41"/>
      <c r="C95" s="41"/>
      <c r="D95" s="41"/>
      <c r="E95" s="279" t="s">
        <v>18</v>
      </c>
      <c r="F95" s="41"/>
      <c r="G95" s="43"/>
      <c r="H95" s="141" t="s">
        <v>12</v>
      </c>
      <c r="I95" s="45"/>
      <c r="J95" s="45"/>
      <c r="K95" s="46"/>
      <c r="L95" s="50">
        <f>L98+L101</f>
        <v>0</v>
      </c>
      <c r="M95" s="50">
        <f>M98+M101</f>
        <v>0</v>
      </c>
      <c r="N95" s="50">
        <f>N98+N101</f>
        <v>0</v>
      </c>
      <c r="O95" s="50">
        <f>IF(L95&gt;0,N95*100/L95,0)</f>
        <v>0</v>
      </c>
      <c r="P95" s="50">
        <f>IF(M95&gt;0,N95*100/M95,0)</f>
        <v>0</v>
      </c>
    </row>
    <row r="96" spans="1:16" ht="18.75" hidden="1" x14ac:dyDescent="0.25">
      <c r="A96" s="136"/>
      <c r="B96" s="41"/>
      <c r="C96" s="41"/>
      <c r="D96" s="41"/>
      <c r="E96" s="254" t="s">
        <v>19</v>
      </c>
      <c r="F96" s="41"/>
      <c r="G96" s="43"/>
      <c r="H96" s="142" t="s">
        <v>12</v>
      </c>
      <c r="I96" s="45"/>
      <c r="J96" s="45"/>
      <c r="K96" s="46"/>
      <c r="L96" s="47">
        <f ca="1">L99+L102</f>
        <v>0</v>
      </c>
      <c r="M96" s="47">
        <f ca="1">M99+M102</f>
        <v>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</row>
    <row r="97" spans="1:16" ht="18.75" hidden="1" x14ac:dyDescent="0.25">
      <c r="A97" s="136"/>
      <c r="B97" s="41"/>
      <c r="C97" s="41"/>
      <c r="D97" s="42" t="s">
        <v>20</v>
      </c>
      <c r="E97" s="41"/>
      <c r="F97" s="41"/>
      <c r="G97" s="43"/>
      <c r="H97" s="143" t="s">
        <v>12</v>
      </c>
      <c r="I97" s="144"/>
      <c r="J97" s="144"/>
      <c r="K97" s="145"/>
      <c r="L97" s="47">
        <f ca="1">L98+L99</f>
        <v>0</v>
      </c>
      <c r="M97" s="47">
        <f ca="1">M98+M99</f>
        <v>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</row>
    <row r="98" spans="1:16" ht="18.75" hidden="1" x14ac:dyDescent="0.25">
      <c r="A98" s="136"/>
      <c r="B98" s="41"/>
      <c r="C98" s="41"/>
      <c r="D98" s="41"/>
      <c r="E98" s="279" t="s">
        <v>34</v>
      </c>
      <c r="F98" s="41"/>
      <c r="G98" s="43"/>
      <c r="H98" s="146" t="s">
        <v>12</v>
      </c>
      <c r="I98" s="144"/>
      <c r="J98" s="144"/>
      <c r="K98" s="145"/>
      <c r="L98" s="50">
        <v>0</v>
      </c>
      <c r="M98" s="50">
        <v>0</v>
      </c>
      <c r="N98" s="50">
        <v>0</v>
      </c>
      <c r="O98" s="50">
        <f>IF(L98&gt;0,N98*100/L98,0)</f>
        <v>0</v>
      </c>
      <c r="P98" s="50">
        <f>IF(M98&gt;0,N98*100/M98,0)</f>
        <v>0</v>
      </c>
    </row>
    <row r="99" spans="1:16" ht="18.75" hidden="1" x14ac:dyDescent="0.25">
      <c r="A99" s="136"/>
      <c r="B99" s="41"/>
      <c r="C99" s="41"/>
      <c r="D99" s="41"/>
      <c r="E99" s="254" t="s">
        <v>35</v>
      </c>
      <c r="F99" s="41"/>
      <c r="G99" s="43"/>
      <c r="H99" s="143" t="s">
        <v>12</v>
      </c>
      <c r="I99" s="144"/>
      <c r="J99" s="144"/>
      <c r="K99" s="145"/>
      <c r="L99" s="47">
        <f ca="1">IFERROR(__xludf.DUMMYFUNCTION("IMPORTRANGE(""https://docs.google.com/spreadsheets/d/1-uDff_7J0KD5mKrp0Vvzr7lt3OU09vwQwhkpOPPYv2Y/edit?usp=sharing"",""งบพรบ!AW23"")"),0)</f>
        <v>0</v>
      </c>
      <c r="M99" s="47">
        <f ca="1">IFERROR(__xludf.DUMMYFUNCTION("IMPORTRANGE(""https://docs.google.com/spreadsheets/d/1-uDff_7J0KD5mKrp0Vvzr7lt3OU09vwQwhkpOPPYv2Y/edit?usp=sharing"",""งบพรบ!BB23"")"),0)</f>
        <v>0</v>
      </c>
      <c r="N99" s="47">
        <f ca="1">IFERROR(__xludf.DUMMYFUNCTION("IMPORTRANGE(""https://docs.google.com/spreadsheets/d/1-uDff_7J0KD5mKrp0Vvzr7lt3OU09vwQwhkpOPPYv2Y/edit?usp=sharing"",""งบพรบ!BD23"")"),0)</f>
        <v>0</v>
      </c>
      <c r="O99" s="47">
        <f ca="1">IF(L99&gt;0,N99*100/L99,0)</f>
        <v>0</v>
      </c>
      <c r="P99" s="47">
        <f ca="1">IF(M99&gt;0,N99*100/M99,0)</f>
        <v>0</v>
      </c>
    </row>
    <row r="100" spans="1:16" ht="18.75" hidden="1" x14ac:dyDescent="0.25">
      <c r="A100" s="136"/>
      <c r="B100" s="41"/>
      <c r="C100" s="41"/>
      <c r="D100" s="42" t="s">
        <v>21</v>
      </c>
      <c r="E100" s="41"/>
      <c r="F100" s="41"/>
      <c r="G100" s="43"/>
      <c r="H100" s="147" t="s">
        <v>12</v>
      </c>
      <c r="I100" s="144"/>
      <c r="J100" s="144"/>
      <c r="K100" s="145"/>
      <c r="L100" s="47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</row>
    <row r="101" spans="1:16" ht="18.75" hidden="1" x14ac:dyDescent="0.25">
      <c r="A101" s="136"/>
      <c r="B101" s="41"/>
      <c r="C101" s="41"/>
      <c r="D101" s="41"/>
      <c r="E101" s="279" t="s">
        <v>18</v>
      </c>
      <c r="F101" s="41"/>
      <c r="G101" s="43"/>
      <c r="H101" s="146" t="s">
        <v>12</v>
      </c>
      <c r="I101" s="144"/>
      <c r="J101" s="144"/>
      <c r="K101" s="145"/>
      <c r="L101" s="50">
        <v>0</v>
      </c>
      <c r="M101" s="50">
        <v>0</v>
      </c>
      <c r="N101" s="50">
        <v>0</v>
      </c>
      <c r="O101" s="50">
        <f>IF(L101&gt;0,N101*100/L101,0)</f>
        <v>0</v>
      </c>
      <c r="P101" s="50">
        <f>IF(M101&gt;0,N101*100/M101,0)</f>
        <v>0</v>
      </c>
    </row>
    <row r="102" spans="1:16" ht="18.75" hidden="1" x14ac:dyDescent="0.25">
      <c r="A102" s="136"/>
      <c r="B102" s="41"/>
      <c r="C102" s="41"/>
      <c r="D102" s="41"/>
      <c r="E102" s="254" t="s">
        <v>19</v>
      </c>
      <c r="F102" s="41"/>
      <c r="G102" s="43"/>
      <c r="H102" s="147" t="s">
        <v>12</v>
      </c>
      <c r="I102" s="144"/>
      <c r="J102" s="144"/>
      <c r="K102" s="145"/>
      <c r="L102" s="47">
        <f ca="1">IFERROR(__xludf.DUMMYFUNCTION("IMPORTRANGE(""https://docs.google.com/spreadsheets/d/1-uDff_7J0KD5mKrp0Vvzr7lt3OU09vwQwhkpOPPYv2Y/edit?usp=sharing"",""งบพรบ!AZ23"")"),0)</f>
        <v>0</v>
      </c>
      <c r="M102" s="47">
        <f ca="1">IFERROR(__xludf.DUMMYFUNCTION("IMPORTRANGE(""https://docs.google.com/spreadsheets/d/1-uDff_7J0KD5mKrp0Vvzr7lt3OU09vwQwhkpOPPYv2Y/edit?usp=sharing"",""งบพรบ!BC23"")"),0)</f>
        <v>0</v>
      </c>
      <c r="N102" s="47">
        <f ca="1">IFERROR(__xludf.DUMMYFUNCTION("IMPORTRANGE(""https://docs.google.com/spreadsheets/d/1-uDff_7J0KD5mKrp0Vvzr7lt3OU09vwQwhkpOPPYv2Y/edit?usp=sharing"",""งบพรบ!BE23"")"),0)</f>
        <v>0</v>
      </c>
      <c r="O102" s="47">
        <f ca="1">IF(L102&gt;0,N102*100/L102,0)</f>
        <v>0</v>
      </c>
      <c r="P102" s="47">
        <f ca="1">IF(M102&gt;0,N102*100/M102,0)</f>
        <v>0</v>
      </c>
    </row>
    <row r="103" spans="1:16" ht="19.5" hidden="1" x14ac:dyDescent="0.3">
      <c r="A103" s="148"/>
      <c r="B103" s="149"/>
      <c r="C103" s="197" t="s">
        <v>16</v>
      </c>
      <c r="D103" s="395" t="s">
        <v>36</v>
      </c>
      <c r="E103" s="151"/>
      <c r="F103" s="151"/>
      <c r="G103" s="152"/>
      <c r="H103" s="153"/>
      <c r="I103" s="144"/>
      <c r="J103" s="45"/>
      <c r="K103" s="46"/>
      <c r="L103" s="46"/>
      <c r="M103" s="46"/>
      <c r="N103" s="46"/>
      <c r="O103" s="145"/>
      <c r="P103" s="145"/>
    </row>
    <row r="104" spans="1:16" ht="12.75" hidden="1" x14ac:dyDescent="0.2">
      <c r="A104" s="165"/>
      <c r="B104" s="166"/>
      <c r="C104" s="166"/>
      <c r="D104" s="16"/>
      <c r="E104" s="16"/>
      <c r="F104" s="16"/>
      <c r="G104" s="17"/>
      <c r="H104" s="17"/>
      <c r="I104" s="18"/>
      <c r="J104" s="18"/>
      <c r="K104" s="19"/>
      <c r="L104" s="19"/>
      <c r="M104" s="19"/>
      <c r="N104" s="19"/>
      <c r="O104" s="19"/>
      <c r="P104" s="19"/>
    </row>
    <row r="105" spans="1:16" ht="12.75" hidden="1" x14ac:dyDescent="0.2">
      <c r="A105" s="165"/>
      <c r="B105" s="166"/>
      <c r="C105" s="166"/>
      <c r="D105" s="16"/>
      <c r="E105" s="16"/>
      <c r="F105" s="16"/>
      <c r="G105" s="17"/>
      <c r="H105" s="17"/>
      <c r="I105" s="18"/>
      <c r="J105" s="18"/>
      <c r="K105" s="19"/>
      <c r="L105" s="19"/>
      <c r="M105" s="19"/>
      <c r="N105" s="19"/>
      <c r="O105" s="19"/>
      <c r="P105" s="19"/>
    </row>
    <row r="106" spans="1:16" ht="12.75" hidden="1" x14ac:dyDescent="0.2">
      <c r="A106" s="165"/>
      <c r="B106" s="166"/>
      <c r="C106" s="166"/>
      <c r="D106" s="166"/>
      <c r="E106" s="16"/>
      <c r="F106" s="16"/>
      <c r="G106" s="17"/>
      <c r="H106" s="17"/>
      <c r="I106" s="18"/>
      <c r="J106" s="18"/>
      <c r="K106" s="19"/>
      <c r="L106" s="19"/>
      <c r="M106" s="19"/>
      <c r="N106" s="19"/>
      <c r="O106" s="19"/>
      <c r="P106" s="19"/>
    </row>
    <row r="107" spans="1:16" ht="19.5" hidden="1" x14ac:dyDescent="0.3">
      <c r="A107" s="148"/>
      <c r="B107" s="149"/>
      <c r="C107" s="149"/>
      <c r="D107" s="167" t="s">
        <v>45</v>
      </c>
      <c r="E107" s="168"/>
      <c r="F107" s="155"/>
      <c r="G107" s="153"/>
      <c r="H107" s="43"/>
      <c r="I107" s="45"/>
      <c r="J107" s="45"/>
      <c r="K107" s="46"/>
      <c r="L107" s="46"/>
      <c r="M107" s="46"/>
      <c r="N107" s="46"/>
      <c r="O107" s="145"/>
      <c r="P107" s="145"/>
    </row>
    <row r="108" spans="1:16" ht="18.75" hidden="1" x14ac:dyDescent="0.25">
      <c r="A108" s="148"/>
      <c r="B108" s="149"/>
      <c r="C108" s="149"/>
      <c r="D108" s="159" t="s">
        <v>46</v>
      </c>
      <c r="E108" s="155"/>
      <c r="F108" s="155"/>
      <c r="G108" s="153"/>
      <c r="H108" s="44" t="s">
        <v>44</v>
      </c>
      <c r="I108" s="169">
        <f ca="1">IFERROR(__xludf.DUMMYFUNCTION("IMPORTRANGE(""https://docs.google.com/spreadsheets/d/1eHaY18a8A9IcSdp1K8H6x8fbOy06t2VsZHhMHf-1x7Y/edit?usp=sharing"",""แผน!N23"")"),0)</f>
        <v>0</v>
      </c>
      <c r="J108" s="250">
        <v>0</v>
      </c>
      <c r="K108" s="47">
        <f ca="1">IF(I108&gt;0,J108*100/I108,0)</f>
        <v>0</v>
      </c>
      <c r="L108" s="46"/>
      <c r="M108" s="46"/>
      <c r="N108" s="46"/>
      <c r="O108" s="145"/>
      <c r="P108" s="145"/>
    </row>
    <row r="109" spans="1:16" ht="18.75" hidden="1" x14ac:dyDescent="0.25">
      <c r="A109" s="148"/>
      <c r="B109" s="149"/>
      <c r="C109" s="149"/>
      <c r="D109" s="159" t="s">
        <v>47</v>
      </c>
      <c r="E109" s="155"/>
      <c r="F109" s="155"/>
      <c r="G109" s="153"/>
      <c r="H109" s="44" t="s">
        <v>33</v>
      </c>
      <c r="I109" s="169">
        <f ca="1">IFERROR(__xludf.DUMMYFUNCTION("IMPORTRANGE(""https://docs.google.com/spreadsheets/d/1eHaY18a8A9IcSdp1K8H6x8fbOy06t2VsZHhMHf-1x7Y/edit?usp=sharing"",""แผน!O23"")"),0)</f>
        <v>0</v>
      </c>
      <c r="J109" s="250">
        <v>0</v>
      </c>
      <c r="K109" s="47">
        <f ca="1">IF(I109&gt;0,J109*100/I109,0)</f>
        <v>0</v>
      </c>
      <c r="L109" s="46"/>
      <c r="M109" s="46"/>
      <c r="N109" s="46"/>
      <c r="O109" s="145"/>
      <c r="P109" s="145"/>
    </row>
    <row r="110" spans="1:16" ht="12.75" hidden="1" x14ac:dyDescent="0.2">
      <c r="A110" s="165"/>
      <c r="B110" s="166"/>
      <c r="C110" s="166"/>
      <c r="D110" s="16"/>
      <c r="E110" s="16"/>
      <c r="F110" s="16"/>
      <c r="G110" s="17"/>
      <c r="H110" s="17"/>
      <c r="I110" s="18"/>
      <c r="J110" s="18"/>
      <c r="K110" s="19"/>
      <c r="L110" s="19"/>
      <c r="M110" s="19"/>
      <c r="N110" s="19"/>
      <c r="O110" s="19"/>
      <c r="P110" s="19"/>
    </row>
    <row r="111" spans="1:16" ht="12.75" hidden="1" x14ac:dyDescent="0.2">
      <c r="A111" s="165"/>
      <c r="B111" s="166"/>
      <c r="C111" s="166"/>
      <c r="D111" s="16"/>
      <c r="E111" s="16"/>
      <c r="F111" s="16"/>
      <c r="G111" s="17"/>
      <c r="H111" s="17"/>
      <c r="I111" s="18"/>
      <c r="J111" s="18"/>
      <c r="K111" s="19"/>
      <c r="L111" s="19"/>
      <c r="M111" s="19"/>
      <c r="N111" s="19"/>
      <c r="O111" s="19"/>
      <c r="P111" s="19"/>
    </row>
    <row r="112" spans="1:16" ht="12.75" hidden="1" x14ac:dyDescent="0.2">
      <c r="A112" s="165"/>
      <c r="B112" s="166"/>
      <c r="C112" s="166"/>
      <c r="D112" s="16"/>
      <c r="E112" s="16"/>
      <c r="F112" s="16"/>
      <c r="G112" s="17"/>
      <c r="H112" s="17"/>
      <c r="I112" s="18"/>
      <c r="J112" s="18"/>
      <c r="K112" s="19"/>
      <c r="L112" s="19"/>
      <c r="M112" s="19"/>
      <c r="N112" s="19"/>
      <c r="O112" s="19"/>
      <c r="P112" s="19"/>
    </row>
    <row r="113" spans="1:16" ht="12.75" hidden="1" x14ac:dyDescent="0.2">
      <c r="A113" s="165"/>
      <c r="B113" s="166"/>
      <c r="C113" s="166"/>
      <c r="D113" s="16"/>
      <c r="E113" s="16"/>
      <c r="F113" s="16"/>
      <c r="G113" s="17"/>
      <c r="H113" s="17"/>
      <c r="I113" s="18"/>
      <c r="J113" s="18"/>
      <c r="K113" s="19"/>
      <c r="L113" s="19"/>
      <c r="M113" s="19"/>
      <c r="N113" s="19"/>
      <c r="O113" s="19"/>
      <c r="P113" s="19"/>
    </row>
    <row r="114" spans="1:16" ht="12.75" hidden="1" x14ac:dyDescent="0.2">
      <c r="A114" s="165"/>
      <c r="B114" s="166"/>
      <c r="C114" s="166"/>
      <c r="D114" s="16"/>
      <c r="E114" s="16"/>
      <c r="F114" s="16"/>
      <c r="G114" s="17"/>
      <c r="H114" s="17"/>
      <c r="I114" s="18"/>
      <c r="J114" s="18"/>
      <c r="K114" s="19"/>
      <c r="L114" s="19"/>
      <c r="M114" s="19"/>
      <c r="N114" s="19"/>
      <c r="O114" s="19"/>
      <c r="P114" s="19"/>
    </row>
    <row r="115" spans="1:16" ht="12.75" hidden="1" x14ac:dyDescent="0.2">
      <c r="A115" s="165"/>
      <c r="B115" s="166"/>
      <c r="C115" s="166"/>
      <c r="D115" s="16"/>
      <c r="E115" s="16"/>
      <c r="F115" s="16"/>
      <c r="G115" s="17"/>
      <c r="H115" s="17"/>
      <c r="I115" s="18"/>
      <c r="J115" s="18"/>
      <c r="K115" s="19"/>
      <c r="L115" s="19"/>
      <c r="M115" s="19"/>
      <c r="N115" s="19"/>
      <c r="O115" s="19"/>
      <c r="P115" s="19"/>
    </row>
    <row r="116" spans="1:16" ht="12.75" hidden="1" x14ac:dyDescent="0.2">
      <c r="A116" s="165"/>
      <c r="B116" s="166"/>
      <c r="C116" s="166"/>
      <c r="D116" s="16"/>
      <c r="E116" s="16"/>
      <c r="F116" s="16"/>
      <c r="G116" s="17"/>
      <c r="H116" s="17"/>
      <c r="I116" s="18"/>
      <c r="J116" s="18"/>
      <c r="K116" s="19"/>
      <c r="L116" s="19"/>
      <c r="M116" s="19"/>
      <c r="N116" s="19"/>
      <c r="O116" s="19"/>
      <c r="P116" s="19"/>
    </row>
    <row r="117" spans="1:16" ht="18.75" hidden="1" x14ac:dyDescent="0.25">
      <c r="A117" s="148"/>
      <c r="B117" s="149"/>
      <c r="C117" s="149"/>
      <c r="D117" s="159" t="s">
        <v>48</v>
      </c>
      <c r="E117" s="155"/>
      <c r="F117" s="155"/>
      <c r="G117" s="153"/>
      <c r="H117" s="251" t="s">
        <v>33</v>
      </c>
      <c r="I117" s="161">
        <f ca="1">IFERROR(__xludf.DUMMYFUNCTION("IMPORTRANGE(""https://docs.google.com/spreadsheets/d/1eHaY18a8A9IcSdp1K8H6x8fbOy06t2VsZHhMHf-1x7Y/edit?usp=sharing"",""แผน!R23"")"),0)</f>
        <v>0</v>
      </c>
      <c r="J117" s="250">
        <v>0</v>
      </c>
      <c r="K117" s="47">
        <f ca="1">IF(I117&gt;0,J117*100/I117,0)</f>
        <v>0</v>
      </c>
      <c r="L117" s="46"/>
      <c r="M117" s="46"/>
      <c r="N117" s="46"/>
      <c r="O117" s="145"/>
      <c r="P117" s="145"/>
    </row>
    <row r="118" spans="1:16" ht="12.75" hidden="1" x14ac:dyDescent="0.2">
      <c r="A118" s="165"/>
      <c r="B118" s="166"/>
      <c r="C118" s="166"/>
      <c r="D118" s="166"/>
      <c r="E118" s="16"/>
      <c r="F118" s="16"/>
      <c r="G118" s="17"/>
      <c r="H118" s="17"/>
      <c r="I118" s="18"/>
      <c r="J118" s="18"/>
      <c r="K118" s="19"/>
      <c r="L118" s="19"/>
      <c r="M118" s="19"/>
      <c r="N118" s="19"/>
      <c r="O118" s="19"/>
      <c r="P118" s="19"/>
    </row>
    <row r="119" spans="1:16" ht="12.75" hidden="1" x14ac:dyDescent="0.2">
      <c r="A119" s="165"/>
      <c r="B119" s="166"/>
      <c r="C119" s="166"/>
      <c r="D119" s="166"/>
      <c r="E119" s="16"/>
      <c r="F119" s="16"/>
      <c r="G119" s="17"/>
      <c r="H119" s="17"/>
      <c r="I119" s="18"/>
      <c r="J119" s="18"/>
      <c r="K119" s="19"/>
      <c r="L119" s="19"/>
      <c r="M119" s="19"/>
      <c r="N119" s="19"/>
      <c r="O119" s="19"/>
      <c r="P119" s="19"/>
    </row>
    <row r="120" spans="1:16" ht="12.75" hidden="1" x14ac:dyDescent="0.2">
      <c r="A120" s="165"/>
      <c r="B120" s="166"/>
      <c r="C120" s="166"/>
      <c r="D120" s="166"/>
      <c r="E120" s="16"/>
      <c r="F120" s="16"/>
      <c r="G120" s="17"/>
      <c r="H120" s="17"/>
      <c r="I120" s="18"/>
      <c r="J120" s="18"/>
      <c r="K120" s="19"/>
      <c r="L120" s="19"/>
      <c r="M120" s="19"/>
      <c r="N120" s="19"/>
      <c r="O120" s="19"/>
      <c r="P120" s="19"/>
    </row>
    <row r="121" spans="1:16" ht="12.75" hidden="1" x14ac:dyDescent="0.2">
      <c r="A121" s="165"/>
      <c r="B121" s="166"/>
      <c r="C121" s="166"/>
      <c r="D121" s="166"/>
      <c r="E121" s="16"/>
      <c r="F121" s="16"/>
      <c r="G121" s="17"/>
      <c r="H121" s="17"/>
      <c r="I121" s="18"/>
      <c r="J121" s="18"/>
      <c r="K121" s="19"/>
      <c r="L121" s="19"/>
      <c r="M121" s="19"/>
      <c r="N121" s="19"/>
      <c r="O121" s="19"/>
      <c r="P121" s="19"/>
    </row>
    <row r="122" spans="1:16" ht="12.75" hidden="1" x14ac:dyDescent="0.2">
      <c r="A122" s="165"/>
      <c r="B122" s="166"/>
      <c r="C122" s="166"/>
      <c r="D122" s="166"/>
      <c r="E122" s="16"/>
      <c r="F122" s="16"/>
      <c r="G122" s="17"/>
      <c r="H122" s="17"/>
      <c r="I122" s="18"/>
      <c r="J122" s="18"/>
      <c r="K122" s="19"/>
      <c r="L122" s="19"/>
      <c r="M122" s="19"/>
      <c r="N122" s="19"/>
      <c r="O122" s="19"/>
      <c r="P122" s="19"/>
    </row>
    <row r="123" spans="1:16" ht="19.5" hidden="1" x14ac:dyDescent="0.3">
      <c r="A123" s="170" t="s">
        <v>49</v>
      </c>
      <c r="B123" s="16"/>
      <c r="C123" s="171"/>
      <c r="D123" s="16"/>
      <c r="E123" s="16"/>
      <c r="F123" s="16"/>
      <c r="G123" s="16"/>
      <c r="H123" s="16"/>
      <c r="I123" s="172"/>
      <c r="J123" s="172"/>
      <c r="K123" s="173"/>
      <c r="L123" s="19"/>
      <c r="M123" s="19"/>
      <c r="N123" s="19"/>
      <c r="O123" s="19"/>
      <c r="P123" s="19"/>
    </row>
    <row r="124" spans="1:16" ht="19.5" hidden="1" x14ac:dyDescent="0.3">
      <c r="A124" s="174"/>
      <c r="B124" s="178" t="s">
        <v>50</v>
      </c>
      <c r="C124" s="171"/>
      <c r="D124" s="166"/>
      <c r="E124" s="16"/>
      <c r="F124" s="16"/>
      <c r="G124" s="17"/>
      <c r="H124" s="17"/>
      <c r="I124" s="176">
        <v>0</v>
      </c>
      <c r="J124" s="176">
        <v>0</v>
      </c>
      <c r="K124" s="177">
        <v>0</v>
      </c>
      <c r="L124" s="19"/>
      <c r="M124" s="19"/>
      <c r="N124" s="19"/>
      <c r="O124" s="19"/>
      <c r="P124" s="19"/>
    </row>
    <row r="125" spans="1:16" ht="19.5" hidden="1" x14ac:dyDescent="0.3">
      <c r="A125" s="174"/>
      <c r="B125" s="16"/>
      <c r="C125" s="178" t="s">
        <v>16</v>
      </c>
      <c r="D125" s="402" t="s">
        <v>17</v>
      </c>
      <c r="E125" s="16"/>
      <c r="F125" s="16"/>
      <c r="G125" s="17"/>
      <c r="H125" s="180" t="s">
        <v>12</v>
      </c>
      <c r="I125" s="18"/>
      <c r="J125" s="18"/>
      <c r="K125" s="19"/>
      <c r="L125" s="181">
        <f ca="1">L126+L127</f>
        <v>0</v>
      </c>
      <c r="M125" s="181">
        <f ca="1">M126+M127</f>
        <v>0</v>
      </c>
      <c r="N125" s="181">
        <f ca="1">N126+N127</f>
        <v>0</v>
      </c>
      <c r="O125" s="181">
        <f ca="1">IF(L125&gt;0,N125*100/L125,0)</f>
        <v>0</v>
      </c>
      <c r="P125" s="181">
        <f ca="1">IF(M125&gt;0,N125*100/M125,0)</f>
        <v>0</v>
      </c>
    </row>
    <row r="126" spans="1:16" ht="18.75" hidden="1" x14ac:dyDescent="0.25">
      <c r="A126" s="174"/>
      <c r="B126" s="16"/>
      <c r="C126" s="16"/>
      <c r="D126" s="16"/>
      <c r="E126" s="182" t="s">
        <v>18</v>
      </c>
      <c r="F126" s="16"/>
      <c r="G126" s="17"/>
      <c r="H126" s="183" t="s">
        <v>12</v>
      </c>
      <c r="I126" s="18"/>
      <c r="J126" s="18"/>
      <c r="K126" s="19"/>
      <c r="L126" s="184">
        <f>L129+L132</f>
        <v>0</v>
      </c>
      <c r="M126" s="184">
        <f>M129+M132</f>
        <v>0</v>
      </c>
      <c r="N126" s="184">
        <f>N129+N132</f>
        <v>0</v>
      </c>
      <c r="O126" s="184">
        <f>IF(L126&gt;0,N126*100/L126,0)</f>
        <v>0</v>
      </c>
      <c r="P126" s="184">
        <f>IF(M126&gt;0,N126*100/M126,0)</f>
        <v>0</v>
      </c>
    </row>
    <row r="127" spans="1:16" ht="18.75" hidden="1" x14ac:dyDescent="0.25">
      <c r="A127" s="174"/>
      <c r="B127" s="16"/>
      <c r="C127" s="16"/>
      <c r="D127" s="16"/>
      <c r="E127" s="185" t="s">
        <v>19</v>
      </c>
      <c r="F127" s="16"/>
      <c r="G127" s="17"/>
      <c r="H127" s="186" t="s">
        <v>12</v>
      </c>
      <c r="I127" s="18"/>
      <c r="J127" s="18"/>
      <c r="K127" s="19"/>
      <c r="L127" s="177">
        <f ca="1">L130+L133</f>
        <v>0</v>
      </c>
      <c r="M127" s="177">
        <f ca="1">M130+M133</f>
        <v>0</v>
      </c>
      <c r="N127" s="177">
        <f ca="1">N130+N133</f>
        <v>0</v>
      </c>
      <c r="O127" s="177">
        <f ca="1">IF(L127&gt;0,N127*100/L127,0)</f>
        <v>0</v>
      </c>
      <c r="P127" s="177">
        <f ca="1">IF(M127&gt;0,N127*100/M127,0)</f>
        <v>0</v>
      </c>
    </row>
    <row r="128" spans="1:16" ht="18.75" hidden="1" x14ac:dyDescent="0.25">
      <c r="A128" s="174"/>
      <c r="B128" s="16"/>
      <c r="C128" s="16"/>
      <c r="D128" s="401" t="s">
        <v>20</v>
      </c>
      <c r="E128" s="16"/>
      <c r="F128" s="16"/>
      <c r="G128" s="17"/>
      <c r="H128" s="188" t="s">
        <v>12</v>
      </c>
      <c r="I128" s="18"/>
      <c r="J128" s="18"/>
      <c r="K128" s="19"/>
      <c r="L128" s="177">
        <f ca="1">L129+L130</f>
        <v>0</v>
      </c>
      <c r="M128" s="177">
        <f ca="1">M129+M130</f>
        <v>0</v>
      </c>
      <c r="N128" s="177">
        <f ca="1">N129+N130</f>
        <v>0</v>
      </c>
      <c r="O128" s="177">
        <f ca="1">IF(L128&gt;0,N128*100/L128,0)</f>
        <v>0</v>
      </c>
      <c r="P128" s="177">
        <f ca="1">IF(M128&gt;0,N128*100/M128,0)</f>
        <v>0</v>
      </c>
    </row>
    <row r="129" spans="1:16" ht="18.75" hidden="1" x14ac:dyDescent="0.25">
      <c r="A129" s="174"/>
      <c r="B129" s="16"/>
      <c r="C129" s="16"/>
      <c r="D129" s="16"/>
      <c r="E129" s="182" t="s">
        <v>34</v>
      </c>
      <c r="F129" s="16"/>
      <c r="G129" s="17"/>
      <c r="H129" s="189" t="s">
        <v>12</v>
      </c>
      <c r="I129" s="18"/>
      <c r="J129" s="18"/>
      <c r="K129" s="19"/>
      <c r="L129" s="184">
        <v>0</v>
      </c>
      <c r="M129" s="184">
        <v>0</v>
      </c>
      <c r="N129" s="184">
        <v>0</v>
      </c>
      <c r="O129" s="184">
        <f>IF(L129&gt;0,N129*100/L129,0)</f>
        <v>0</v>
      </c>
      <c r="P129" s="184">
        <f>IF(M129&gt;0,N129*100/M129,0)</f>
        <v>0</v>
      </c>
    </row>
    <row r="130" spans="1:16" ht="18.75" hidden="1" x14ac:dyDescent="0.25">
      <c r="A130" s="174"/>
      <c r="B130" s="16"/>
      <c r="C130" s="16"/>
      <c r="D130" s="16"/>
      <c r="E130" s="185" t="s">
        <v>35</v>
      </c>
      <c r="F130" s="16"/>
      <c r="G130" s="17"/>
      <c r="H130" s="188" t="s">
        <v>12</v>
      </c>
      <c r="I130" s="18"/>
      <c r="J130" s="18"/>
      <c r="K130" s="19"/>
      <c r="L130" s="177">
        <f ca="1">IFERROR(__xludf.DUMMYFUNCTION("IMPORTRANGE(""https://docs.google.com/spreadsheets/d/1-uDff_7J0KD5mKrp0Vvzr7lt3OU09vwQwhkpOPPYv2Y/edit?usp=sharing"",""งบพรบ!BG23"")"),0)</f>
        <v>0</v>
      </c>
      <c r="M130" s="177">
        <f ca="1">IFERROR(__xludf.DUMMYFUNCTION("IMPORTRANGE(""https://docs.google.com/spreadsheets/d/1-uDff_7J0KD5mKrp0Vvzr7lt3OU09vwQwhkpOPPYv2Y/edit?usp=sharing"",""งบพรบ!BL23"")"),0)</f>
        <v>0</v>
      </c>
      <c r="N130" s="177">
        <f ca="1">IFERROR(__xludf.DUMMYFUNCTION("IMPORTRANGE(""https://docs.google.com/spreadsheets/d/1-uDff_7J0KD5mKrp0Vvzr7lt3OU09vwQwhkpOPPYv2Y/edit?usp=sharing"",""งบพรบ!BN23"")"),0)</f>
        <v>0</v>
      </c>
      <c r="O130" s="177">
        <f ca="1">IF(L130&gt;0,N130*100/L130,0)</f>
        <v>0</v>
      </c>
      <c r="P130" s="177">
        <f ca="1">IF(M130&gt;0,N130*100/M130,0)</f>
        <v>0</v>
      </c>
    </row>
    <row r="131" spans="1:16" ht="18.75" hidden="1" x14ac:dyDescent="0.25">
      <c r="A131" s="174"/>
      <c r="B131" s="16"/>
      <c r="C131" s="16"/>
      <c r="D131" s="401" t="s">
        <v>21</v>
      </c>
      <c r="E131" s="16"/>
      <c r="F131" s="16"/>
      <c r="G131" s="17"/>
      <c r="H131" s="186" t="s">
        <v>12</v>
      </c>
      <c r="I131" s="18"/>
      <c r="J131" s="18"/>
      <c r="K131" s="19"/>
      <c r="L131" s="177">
        <f ca="1">L132+L133</f>
        <v>0</v>
      </c>
      <c r="M131" s="177">
        <f ca="1">M132+M133</f>
        <v>0</v>
      </c>
      <c r="N131" s="177">
        <f ca="1">N132+N133</f>
        <v>0</v>
      </c>
      <c r="O131" s="177">
        <f ca="1">IF(L131&gt;0,N131*100/L131,0)</f>
        <v>0</v>
      </c>
      <c r="P131" s="177">
        <f ca="1">IF(M131&gt;0,N131*100/M131,0)</f>
        <v>0</v>
      </c>
    </row>
    <row r="132" spans="1:16" ht="18.75" hidden="1" x14ac:dyDescent="0.25">
      <c r="A132" s="174"/>
      <c r="B132" s="16"/>
      <c r="C132" s="16"/>
      <c r="D132" s="16"/>
      <c r="E132" s="182" t="s">
        <v>18</v>
      </c>
      <c r="F132" s="16"/>
      <c r="G132" s="17"/>
      <c r="H132" s="189" t="s">
        <v>12</v>
      </c>
      <c r="I132" s="18"/>
      <c r="J132" s="18"/>
      <c r="K132" s="19"/>
      <c r="L132" s="184">
        <v>0</v>
      </c>
      <c r="M132" s="184">
        <v>0</v>
      </c>
      <c r="N132" s="184">
        <v>0</v>
      </c>
      <c r="O132" s="184">
        <f>IF(L132&gt;0,N132*100/L132,0)</f>
        <v>0</v>
      </c>
      <c r="P132" s="184">
        <f>IF(M132&gt;0,N132*100/M132,0)</f>
        <v>0</v>
      </c>
    </row>
    <row r="133" spans="1:16" ht="18.75" hidden="1" x14ac:dyDescent="0.25">
      <c r="A133" s="174"/>
      <c r="B133" s="16"/>
      <c r="C133" s="16"/>
      <c r="D133" s="16"/>
      <c r="E133" s="185" t="s">
        <v>19</v>
      </c>
      <c r="F133" s="16"/>
      <c r="G133" s="17"/>
      <c r="H133" s="186" t="s">
        <v>12</v>
      </c>
      <c r="I133" s="18"/>
      <c r="J133" s="18"/>
      <c r="K133" s="19"/>
      <c r="L133" s="177">
        <f ca="1">IFERROR(__xludf.DUMMYFUNCTION("IMPORTRANGE(""https://docs.google.com/spreadsheets/d/1-uDff_7J0KD5mKrp0Vvzr7lt3OU09vwQwhkpOPPYv2Y/edit?usp=sharing"",""งบพรบ!BJ23"")"),0)</f>
        <v>0</v>
      </c>
      <c r="M133" s="177">
        <f ca="1">IFERROR(__xludf.DUMMYFUNCTION("IMPORTRANGE(""https://docs.google.com/spreadsheets/d/1-uDff_7J0KD5mKrp0Vvzr7lt3OU09vwQwhkpOPPYv2Y/edit?usp=sharing"",""งบพรบ!BM23"")"),0)</f>
        <v>0</v>
      </c>
      <c r="N133" s="177">
        <f ca="1">IFERROR(__xludf.DUMMYFUNCTION("IMPORTRANGE(""https://docs.google.com/spreadsheets/d/1-uDff_7J0KD5mKrp0Vvzr7lt3OU09vwQwhkpOPPYv2Y/edit?usp=sharing"",""งบพรบ!BO23"")"),0)</f>
        <v>0</v>
      </c>
      <c r="O133" s="177">
        <f ca="1">IF(L133&gt;0,N133*100/L133,0)</f>
        <v>0</v>
      </c>
      <c r="P133" s="177">
        <f ca="1">IF(M133&gt;0,N133*100/M133,0)</f>
        <v>0</v>
      </c>
    </row>
    <row r="134" spans="1:16" ht="19.5" x14ac:dyDescent="0.3">
      <c r="A134" s="125" t="s">
        <v>51</v>
      </c>
      <c r="B134" s="126"/>
      <c r="C134" s="190"/>
      <c r="D134" s="126"/>
      <c r="E134" s="126"/>
      <c r="F134" s="126"/>
      <c r="G134" s="126"/>
      <c r="H134" s="126"/>
      <c r="I134" s="191"/>
      <c r="J134" s="191"/>
      <c r="K134" s="192"/>
      <c r="L134" s="130"/>
      <c r="M134" s="130"/>
      <c r="N134" s="130"/>
      <c r="O134" s="130"/>
      <c r="P134" s="130"/>
    </row>
    <row r="135" spans="1:16" ht="19.5" x14ac:dyDescent="0.3">
      <c r="A135" s="131"/>
      <c r="B135" s="132" t="s">
        <v>52</v>
      </c>
      <c r="C135" s="193"/>
      <c r="D135" s="133"/>
      <c r="E135" s="26"/>
      <c r="F135" s="26"/>
      <c r="G135" s="26"/>
      <c r="H135" s="26"/>
      <c r="I135" s="194"/>
      <c r="J135" s="31"/>
      <c r="K135" s="32"/>
      <c r="L135" s="32"/>
      <c r="M135" s="32"/>
      <c r="N135" s="32"/>
      <c r="O135" s="32"/>
      <c r="P135" s="32"/>
    </row>
    <row r="136" spans="1:16" ht="19.5" x14ac:dyDescent="0.3">
      <c r="A136" s="131"/>
      <c r="B136" s="26"/>
      <c r="C136" s="195" t="s">
        <v>53</v>
      </c>
      <c r="D136" s="133"/>
      <c r="E136" s="26"/>
      <c r="F136" s="26"/>
      <c r="G136" s="29"/>
      <c r="H136" s="134" t="s">
        <v>54</v>
      </c>
      <c r="I136" s="135">
        <f ca="1">I154</f>
        <v>0</v>
      </c>
      <c r="J136" s="135">
        <f>J154</f>
        <v>0</v>
      </c>
      <c r="K136" s="33">
        <f ca="1">IF(I136&gt;0,J136*100/I136,0)</f>
        <v>0</v>
      </c>
      <c r="L136" s="32"/>
      <c r="M136" s="32"/>
      <c r="N136" s="32"/>
      <c r="O136" s="32"/>
      <c r="P136" s="32"/>
    </row>
    <row r="137" spans="1:16" ht="19.5" x14ac:dyDescent="0.3">
      <c r="A137" s="131"/>
      <c r="B137" s="26"/>
      <c r="C137" s="195" t="s">
        <v>55</v>
      </c>
      <c r="D137" s="133"/>
      <c r="E137" s="26"/>
      <c r="F137" s="26"/>
      <c r="G137" s="29"/>
      <c r="H137" s="134" t="s">
        <v>33</v>
      </c>
      <c r="I137" s="135">
        <f ca="1">I152</f>
        <v>10</v>
      </c>
      <c r="J137" s="135">
        <f>J152</f>
        <v>10</v>
      </c>
      <c r="K137" s="33">
        <f ca="1">IF(I137&gt;0,J137*100/I137,0)</f>
        <v>100</v>
      </c>
      <c r="L137" s="32"/>
      <c r="M137" s="32"/>
      <c r="N137" s="32"/>
      <c r="O137" s="32"/>
      <c r="P137" s="32"/>
    </row>
    <row r="138" spans="1:16" ht="19.5" x14ac:dyDescent="0.3">
      <c r="A138" s="131"/>
      <c r="B138" s="26"/>
      <c r="C138" s="193"/>
      <c r="D138" s="133"/>
      <c r="E138" s="26"/>
      <c r="F138" s="26"/>
      <c r="G138" s="29"/>
      <c r="H138" s="134" t="s">
        <v>56</v>
      </c>
      <c r="I138" s="135">
        <f ca="1">I153</f>
        <v>1</v>
      </c>
      <c r="J138" s="135">
        <f>J153</f>
        <v>1</v>
      </c>
      <c r="K138" s="33">
        <f ca="1">IF(I138&gt;0,J138*100/I138,0)</f>
        <v>100</v>
      </c>
      <c r="L138" s="32"/>
      <c r="M138" s="32"/>
      <c r="N138" s="32"/>
      <c r="O138" s="32"/>
      <c r="P138" s="32"/>
    </row>
    <row r="139" spans="1:16" ht="19.5" x14ac:dyDescent="0.3">
      <c r="A139" s="136"/>
      <c r="B139" s="41"/>
      <c r="C139" s="197" t="s">
        <v>16</v>
      </c>
      <c r="D139" s="397" t="s">
        <v>17</v>
      </c>
      <c r="E139" s="41"/>
      <c r="F139" s="41"/>
      <c r="G139" s="43"/>
      <c r="H139" s="139" t="s">
        <v>12</v>
      </c>
      <c r="I139" s="45"/>
      <c r="J139" s="45"/>
      <c r="K139" s="46"/>
      <c r="L139" s="140">
        <f ca="1">L140+L141</f>
        <v>23300</v>
      </c>
      <c r="M139" s="140">
        <f ca="1">M140+M141</f>
        <v>18300</v>
      </c>
      <c r="N139" s="140">
        <f ca="1">N140+N141</f>
        <v>12980</v>
      </c>
      <c r="O139" s="140">
        <f ca="1">IF(L139&gt;0,N139*100/L139,0)</f>
        <v>55.708154506437765</v>
      </c>
      <c r="P139" s="140">
        <f ca="1">IF(M139&gt;0,N139*100/M139,0)</f>
        <v>70.928961748633881</v>
      </c>
    </row>
    <row r="140" spans="1:16" ht="18.75" hidden="1" x14ac:dyDescent="0.25">
      <c r="A140" s="136"/>
      <c r="B140" s="41"/>
      <c r="C140" s="41"/>
      <c r="D140" s="41"/>
      <c r="E140" s="279" t="s">
        <v>18</v>
      </c>
      <c r="F140" s="41"/>
      <c r="G140" s="43"/>
      <c r="H140" s="141" t="s">
        <v>12</v>
      </c>
      <c r="I140" s="45"/>
      <c r="J140" s="45"/>
      <c r="K140" s="46"/>
      <c r="L140" s="50">
        <f>L143+L146</f>
        <v>0</v>
      </c>
      <c r="M140" s="50">
        <f>M143+M146</f>
        <v>0</v>
      </c>
      <c r="N140" s="50">
        <f>N143+N146</f>
        <v>0</v>
      </c>
      <c r="O140" s="50">
        <f>IF(L140&gt;0,N140*100/L140,0)</f>
        <v>0</v>
      </c>
      <c r="P140" s="50">
        <f>IF(M140&gt;0,N140*100/M140,0)</f>
        <v>0</v>
      </c>
    </row>
    <row r="141" spans="1:16" ht="18.75" x14ac:dyDescent="0.25">
      <c r="A141" s="136"/>
      <c r="B141" s="41"/>
      <c r="C141" s="41"/>
      <c r="D141" s="41"/>
      <c r="E141" s="254" t="s">
        <v>19</v>
      </c>
      <c r="F141" s="41"/>
      <c r="G141" s="43"/>
      <c r="H141" s="142" t="s">
        <v>12</v>
      </c>
      <c r="I141" s="45"/>
      <c r="J141" s="45"/>
      <c r="K141" s="46"/>
      <c r="L141" s="47">
        <f ca="1">L144+L147</f>
        <v>23300</v>
      </c>
      <c r="M141" s="47">
        <f ca="1">M144+M147</f>
        <v>18300</v>
      </c>
      <c r="N141" s="47">
        <f ca="1">N144+N147</f>
        <v>12980</v>
      </c>
      <c r="O141" s="47">
        <f ca="1">IF(L141&gt;0,N141*100/L141,0)</f>
        <v>55.708154506437765</v>
      </c>
      <c r="P141" s="47">
        <f ca="1">IF(M141&gt;0,N141*100/M141,0)</f>
        <v>70.928961748633881</v>
      </c>
    </row>
    <row r="142" spans="1:16" ht="18.75" x14ac:dyDescent="0.25">
      <c r="A142" s="136"/>
      <c r="B142" s="41"/>
      <c r="C142" s="41"/>
      <c r="D142" s="42" t="s">
        <v>20</v>
      </c>
      <c r="E142" s="41"/>
      <c r="F142" s="41"/>
      <c r="G142" s="43"/>
      <c r="H142" s="143" t="s">
        <v>12</v>
      </c>
      <c r="I142" s="144"/>
      <c r="J142" s="144"/>
      <c r="K142" s="145"/>
      <c r="L142" s="47">
        <f ca="1">L143+L144</f>
        <v>23300</v>
      </c>
      <c r="M142" s="47">
        <f ca="1">M143+M144</f>
        <v>18300</v>
      </c>
      <c r="N142" s="47">
        <f ca="1">N143+N144</f>
        <v>12980</v>
      </c>
      <c r="O142" s="47">
        <f ca="1">IF(L142&gt;0,N142*100/L142,0)</f>
        <v>55.708154506437765</v>
      </c>
      <c r="P142" s="47">
        <f ca="1">IF(M142&gt;0,N142*100/M142,0)</f>
        <v>70.928961748633881</v>
      </c>
    </row>
    <row r="143" spans="1:16" ht="18.75" hidden="1" x14ac:dyDescent="0.25">
      <c r="A143" s="136"/>
      <c r="B143" s="41"/>
      <c r="C143" s="41"/>
      <c r="D143" s="41"/>
      <c r="E143" s="279" t="s">
        <v>34</v>
      </c>
      <c r="F143" s="41"/>
      <c r="G143" s="43"/>
      <c r="H143" s="146" t="s">
        <v>12</v>
      </c>
      <c r="I143" s="144"/>
      <c r="J143" s="144"/>
      <c r="K143" s="145"/>
      <c r="L143" s="50">
        <v>0</v>
      </c>
      <c r="M143" s="50">
        <v>0</v>
      </c>
      <c r="N143" s="50">
        <v>0</v>
      </c>
      <c r="O143" s="50">
        <f>IF(L143&gt;0,N143*100/L143,0)</f>
        <v>0</v>
      </c>
      <c r="P143" s="50">
        <f>IF(M143&gt;0,N143*100/M143,0)</f>
        <v>0</v>
      </c>
    </row>
    <row r="144" spans="1:16" ht="18.75" x14ac:dyDescent="0.25">
      <c r="A144" s="136"/>
      <c r="B144" s="41"/>
      <c r="C144" s="41"/>
      <c r="D144" s="41"/>
      <c r="E144" s="254" t="s">
        <v>35</v>
      </c>
      <c r="F144" s="41"/>
      <c r="G144" s="43"/>
      <c r="H144" s="143" t="s">
        <v>12</v>
      </c>
      <c r="I144" s="144"/>
      <c r="J144" s="144"/>
      <c r="K144" s="145"/>
      <c r="L144" s="47">
        <f ca="1">IFERROR(__xludf.DUMMYFUNCTION("IMPORTRANGE(""https://docs.google.com/spreadsheets/d/1-uDff_7J0KD5mKrp0Vvzr7lt3OU09vwQwhkpOPPYv2Y/edit?usp=sharing"",""งบพรบ!BQ23"")"),23300)</f>
        <v>23300</v>
      </c>
      <c r="M144" s="47">
        <f ca="1">IFERROR(__xludf.DUMMYFUNCTION("IMPORTRANGE(""https://docs.google.com/spreadsheets/d/1-uDff_7J0KD5mKrp0Vvzr7lt3OU09vwQwhkpOPPYv2Y/edit?usp=sharing"",""งบพรบ!BV23"")"),18300)</f>
        <v>18300</v>
      </c>
      <c r="N144" s="47">
        <f ca="1">IFERROR(__xludf.DUMMYFUNCTION("IMPORTRANGE(""https://docs.google.com/spreadsheets/d/1-uDff_7J0KD5mKrp0Vvzr7lt3OU09vwQwhkpOPPYv2Y/edit?usp=sharing"",""งบพรบ!BX23"")"),12980)</f>
        <v>12980</v>
      </c>
      <c r="O144" s="47">
        <f ca="1">IF(L144&gt;0,N144*100/L144,0)</f>
        <v>55.708154506437765</v>
      </c>
      <c r="P144" s="47">
        <f ca="1">IF(M144&gt;0,N144*100/M144,0)</f>
        <v>70.928961748633881</v>
      </c>
    </row>
    <row r="145" spans="1:16" ht="18.75" x14ac:dyDescent="0.25">
      <c r="A145" s="136"/>
      <c r="B145" s="41"/>
      <c r="C145" s="41"/>
      <c r="D145" s="42" t="s">
        <v>21</v>
      </c>
      <c r="E145" s="41"/>
      <c r="F145" s="41"/>
      <c r="G145" s="43"/>
      <c r="H145" s="147" t="s">
        <v>12</v>
      </c>
      <c r="I145" s="144"/>
      <c r="J145" s="144"/>
      <c r="K145" s="145"/>
      <c r="L145" s="47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</row>
    <row r="146" spans="1:16" ht="18.75" hidden="1" x14ac:dyDescent="0.25">
      <c r="A146" s="136"/>
      <c r="B146" s="41"/>
      <c r="C146" s="41"/>
      <c r="D146" s="41"/>
      <c r="E146" s="279" t="s">
        <v>18</v>
      </c>
      <c r="F146" s="41"/>
      <c r="G146" s="43"/>
      <c r="H146" s="146" t="s">
        <v>12</v>
      </c>
      <c r="I146" s="144"/>
      <c r="J146" s="144"/>
      <c r="K146" s="145"/>
      <c r="L146" s="50">
        <v>0</v>
      </c>
      <c r="M146" s="50">
        <v>0</v>
      </c>
      <c r="N146" s="50">
        <v>0</v>
      </c>
      <c r="O146" s="50">
        <f>IF(L146&gt;0,N146*100/L146,0)</f>
        <v>0</v>
      </c>
      <c r="P146" s="50">
        <f>IF(M146&gt;0,N146*100/M146,0)</f>
        <v>0</v>
      </c>
    </row>
    <row r="147" spans="1:16" ht="18.75" x14ac:dyDescent="0.25">
      <c r="A147" s="136"/>
      <c r="B147" s="41"/>
      <c r="C147" s="41"/>
      <c r="D147" s="41"/>
      <c r="E147" s="254" t="s">
        <v>19</v>
      </c>
      <c r="F147" s="41"/>
      <c r="G147" s="43"/>
      <c r="H147" s="147" t="s">
        <v>12</v>
      </c>
      <c r="I147" s="144"/>
      <c r="J147" s="144"/>
      <c r="K147" s="145"/>
      <c r="L147" s="47">
        <f ca="1">IFERROR(__xludf.DUMMYFUNCTION("IMPORTRANGE(""https://docs.google.com/spreadsheets/d/1-uDff_7J0KD5mKrp0Vvzr7lt3OU09vwQwhkpOPPYv2Y/edit?usp=sharing"",""งบพรบ!BT23"")"),0)</f>
        <v>0</v>
      </c>
      <c r="M147" s="47">
        <f ca="1">IFERROR(__xludf.DUMMYFUNCTION("IMPORTRANGE(""https://docs.google.com/spreadsheets/d/1-uDff_7J0KD5mKrp0Vvzr7lt3OU09vwQwhkpOPPYv2Y/edit?usp=sharing"",""งบพรบ!BW23"")"),0)</f>
        <v>0</v>
      </c>
      <c r="N147" s="47">
        <f ca="1">IFERROR(__xludf.DUMMYFUNCTION("IMPORTRANGE(""https://docs.google.com/spreadsheets/d/1-uDff_7J0KD5mKrp0Vvzr7lt3OU09vwQwhkpOPPYv2Y/edit?usp=sharing"",""งบพรบ!BY23"")"),0)</f>
        <v>0</v>
      </c>
      <c r="O147" s="47">
        <f ca="1">IF(L147&gt;0,N147*100/L147,0)</f>
        <v>0</v>
      </c>
      <c r="P147" s="47">
        <f ca="1">IF(M147&gt;0,N147*100/M147,0)</f>
        <v>0</v>
      </c>
    </row>
    <row r="148" spans="1:16" ht="19.5" x14ac:dyDescent="0.3">
      <c r="A148" s="148"/>
      <c r="B148" s="149"/>
      <c r="C148" s="197" t="s">
        <v>16</v>
      </c>
      <c r="D148" s="395" t="s">
        <v>36</v>
      </c>
      <c r="E148" s="151"/>
      <c r="F148" s="151"/>
      <c r="G148" s="152"/>
      <c r="H148" s="196"/>
      <c r="I148" s="45"/>
      <c r="J148" s="45"/>
      <c r="K148" s="46"/>
      <c r="L148" s="46"/>
      <c r="M148" s="46"/>
      <c r="N148" s="46"/>
      <c r="O148" s="46"/>
      <c r="P148" s="46"/>
    </row>
    <row r="149" spans="1:16" ht="18.75" x14ac:dyDescent="0.25">
      <c r="A149" s="136"/>
      <c r="B149" s="41"/>
      <c r="C149" s="41"/>
      <c r="D149" s="254" t="s">
        <v>57</v>
      </c>
      <c r="E149" s="41"/>
      <c r="F149" s="41"/>
      <c r="G149" s="43"/>
      <c r="H149" s="196"/>
      <c r="I149" s="45"/>
      <c r="J149" s="250">
        <v>0</v>
      </c>
      <c r="K149" s="46"/>
      <c r="L149" s="46"/>
      <c r="M149" s="46"/>
      <c r="N149" s="46"/>
      <c r="O149" s="46"/>
      <c r="P149" s="46"/>
    </row>
    <row r="150" spans="1:16" ht="19.5" x14ac:dyDescent="0.3">
      <c r="A150" s="136"/>
      <c r="B150" s="41"/>
      <c r="C150" s="41"/>
      <c r="D150" s="155"/>
      <c r="E150" s="197" t="s">
        <v>58</v>
      </c>
      <c r="F150" s="41"/>
      <c r="G150" s="43"/>
      <c r="H150" s="147" t="s">
        <v>33</v>
      </c>
      <c r="I150" s="169">
        <f ca="1">IFERROR(__xludf.DUMMYFUNCTION("IMPORTRANGE(""https://docs.google.com/spreadsheets/d/1eHaY18a8A9IcSdp1K8H6x8fbOy06t2VsZHhMHf-1x7Y/edit?usp=sharing"",""แผน!U23"")"),0)</f>
        <v>0</v>
      </c>
      <c r="J150" s="250">
        <v>0</v>
      </c>
      <c r="K150" s="47">
        <f ca="1">IF(I150&gt;0,J150*100/I150,0)</f>
        <v>0</v>
      </c>
      <c r="L150" s="46"/>
      <c r="M150" s="46"/>
      <c r="N150" s="46"/>
      <c r="O150" s="46"/>
      <c r="P150" s="46"/>
    </row>
    <row r="151" spans="1:16" ht="18.75" x14ac:dyDescent="0.25">
      <c r="A151" s="136"/>
      <c r="B151" s="41"/>
      <c r="C151" s="41"/>
      <c r="D151" s="155"/>
      <c r="E151" s="41"/>
      <c r="F151" s="41"/>
      <c r="G151" s="43"/>
      <c r="H151" s="147" t="s">
        <v>56</v>
      </c>
      <c r="I151" s="169">
        <f ca="1">IFERROR(__xludf.DUMMYFUNCTION("IMPORTRANGE(""https://docs.google.com/spreadsheets/d/1eHaY18a8A9IcSdp1K8H6x8fbOy06t2VsZHhMHf-1x7Y/edit?usp=sharing"",""แผน!V23"")"),0)</f>
        <v>0</v>
      </c>
      <c r="J151" s="250">
        <v>0</v>
      </c>
      <c r="K151" s="47">
        <f ca="1">IF(I151&gt;0,J151*100/I151,0)</f>
        <v>0</v>
      </c>
      <c r="L151" s="46"/>
      <c r="M151" s="46"/>
      <c r="N151" s="46"/>
      <c r="O151" s="46"/>
      <c r="P151" s="46"/>
    </row>
    <row r="152" spans="1:16" ht="19.5" x14ac:dyDescent="0.3">
      <c r="A152" s="136"/>
      <c r="B152" s="41"/>
      <c r="C152" s="41"/>
      <c r="D152" s="155"/>
      <c r="E152" s="197" t="s">
        <v>59</v>
      </c>
      <c r="F152" s="41"/>
      <c r="G152" s="43"/>
      <c r="H152" s="147" t="s">
        <v>33</v>
      </c>
      <c r="I152" s="169">
        <f ca="1">IFERROR(__xludf.DUMMYFUNCTION("IMPORTRANGE(""https://docs.google.com/spreadsheets/d/1eHaY18a8A9IcSdp1K8H6x8fbOy06t2VsZHhMHf-1x7Y/edit?usp=sharing"",""แผน!W23"")"),10)</f>
        <v>10</v>
      </c>
      <c r="J152" s="250">
        <v>10</v>
      </c>
      <c r="K152" s="47">
        <f ca="1">IF(I152&gt;0,J152*100/I152,0)</f>
        <v>100</v>
      </c>
      <c r="L152" s="46"/>
      <c r="M152" s="46"/>
      <c r="N152" s="46"/>
      <c r="O152" s="46"/>
      <c r="P152" s="46"/>
    </row>
    <row r="153" spans="1:16" ht="18.75" x14ac:dyDescent="0.25">
      <c r="A153" s="136"/>
      <c r="B153" s="41"/>
      <c r="C153" s="41"/>
      <c r="D153" s="41"/>
      <c r="E153" s="41"/>
      <c r="F153" s="41"/>
      <c r="G153" s="43"/>
      <c r="H153" s="147" t="s">
        <v>56</v>
      </c>
      <c r="I153" s="169">
        <f ca="1">IFERROR(__xludf.DUMMYFUNCTION("IMPORTRANGE(""https://docs.google.com/spreadsheets/d/1eHaY18a8A9IcSdp1K8H6x8fbOy06t2VsZHhMHf-1x7Y/edit?usp=sharing"",""แผน!X23"")"),1)</f>
        <v>1</v>
      </c>
      <c r="J153" s="250">
        <v>1</v>
      </c>
      <c r="K153" s="47">
        <f ca="1">IF(I153&gt;0,J153*100/I153,0)</f>
        <v>100</v>
      </c>
      <c r="L153" s="46"/>
      <c r="M153" s="46"/>
      <c r="N153" s="46"/>
      <c r="O153" s="46"/>
      <c r="P153" s="46"/>
    </row>
    <row r="154" spans="1:16" ht="18.75" x14ac:dyDescent="0.25">
      <c r="A154" s="136"/>
      <c r="B154" s="41"/>
      <c r="C154" s="41"/>
      <c r="D154" s="254" t="s">
        <v>60</v>
      </c>
      <c r="E154" s="41"/>
      <c r="F154" s="41"/>
      <c r="G154" s="43"/>
      <c r="H154" s="147" t="s">
        <v>54</v>
      </c>
      <c r="I154" s="169">
        <f ca="1">IFERROR(__xludf.DUMMYFUNCTION("IMPORTRANGE(""https://docs.google.com/spreadsheets/d/1eHaY18a8A9IcSdp1K8H6x8fbOy06t2VsZHhMHf-1x7Y/edit?usp=sharing"",""แผน!Y23"")"),0)</f>
        <v>0</v>
      </c>
      <c r="J154" s="250">
        <v>0</v>
      </c>
      <c r="K154" s="47">
        <f ca="1">IF(I154&gt;0,J154*100/I154,0)</f>
        <v>0</v>
      </c>
      <c r="L154" s="46"/>
      <c r="M154" s="46"/>
      <c r="N154" s="46"/>
      <c r="O154" s="46"/>
      <c r="P154" s="46"/>
    </row>
    <row r="155" spans="1:16" ht="19.5" x14ac:dyDescent="0.3">
      <c r="A155" s="125" t="s">
        <v>61</v>
      </c>
      <c r="B155" s="126"/>
      <c r="C155" s="190"/>
      <c r="D155" s="126"/>
      <c r="E155" s="126"/>
      <c r="F155" s="126"/>
      <c r="G155" s="126"/>
      <c r="H155" s="126"/>
      <c r="I155" s="191"/>
      <c r="J155" s="191"/>
      <c r="K155" s="192"/>
      <c r="L155" s="130"/>
      <c r="M155" s="130"/>
      <c r="N155" s="130"/>
      <c r="O155" s="130"/>
      <c r="P155" s="130"/>
    </row>
    <row r="156" spans="1:16" ht="19.5" x14ac:dyDescent="0.3">
      <c r="A156" s="131"/>
      <c r="B156" s="132" t="s">
        <v>62</v>
      </c>
      <c r="C156" s="26"/>
      <c r="D156" s="26"/>
      <c r="E156" s="26"/>
      <c r="F156" s="26"/>
      <c r="G156" s="29"/>
      <c r="H156" s="198" t="s">
        <v>33</v>
      </c>
      <c r="I156" s="135">
        <f ca="1">I167</f>
        <v>20</v>
      </c>
      <c r="J156" s="135">
        <f>J167</f>
        <v>20</v>
      </c>
      <c r="K156" s="33">
        <f ca="1">IF(I156&gt;0,J156*100/I156,0)</f>
        <v>100</v>
      </c>
      <c r="L156" s="32"/>
      <c r="M156" s="32"/>
      <c r="N156" s="32"/>
      <c r="O156" s="32"/>
      <c r="P156" s="32"/>
    </row>
    <row r="157" spans="1:16" ht="19.5" x14ac:dyDescent="0.3">
      <c r="A157" s="136"/>
      <c r="B157" s="41"/>
      <c r="C157" s="197" t="s">
        <v>16</v>
      </c>
      <c r="D157" s="397" t="s">
        <v>17</v>
      </c>
      <c r="E157" s="41"/>
      <c r="F157" s="41"/>
      <c r="G157" s="43"/>
      <c r="H157" s="139" t="s">
        <v>12</v>
      </c>
      <c r="I157" s="45"/>
      <c r="J157" s="45"/>
      <c r="K157" s="46"/>
      <c r="L157" s="140">
        <f ca="1">L158+L159</f>
        <v>6000</v>
      </c>
      <c r="M157" s="140">
        <f ca="1">M158+M159</f>
        <v>0</v>
      </c>
      <c r="N157" s="140">
        <f ca="1">N158+N159</f>
        <v>0</v>
      </c>
      <c r="O157" s="140">
        <f ca="1">IF(L157&gt;0,N157*100/L157,0)</f>
        <v>0</v>
      </c>
      <c r="P157" s="140">
        <f ca="1">IF(M157&gt;0,N157*100/M157,0)</f>
        <v>0</v>
      </c>
    </row>
    <row r="158" spans="1:16" ht="18.75" hidden="1" x14ac:dyDescent="0.25">
      <c r="A158" s="136"/>
      <c r="B158" s="41"/>
      <c r="C158" s="41"/>
      <c r="D158" s="41"/>
      <c r="E158" s="279" t="s">
        <v>18</v>
      </c>
      <c r="F158" s="41"/>
      <c r="G158" s="43"/>
      <c r="H158" s="141" t="s">
        <v>12</v>
      </c>
      <c r="I158" s="45"/>
      <c r="J158" s="45"/>
      <c r="K158" s="46"/>
      <c r="L158" s="50">
        <f>L161+L164</f>
        <v>0</v>
      </c>
      <c r="M158" s="50">
        <f>M161+M164</f>
        <v>0</v>
      </c>
      <c r="N158" s="50">
        <f>N161+N164</f>
        <v>0</v>
      </c>
      <c r="O158" s="50">
        <f>IF(L158&gt;0,N158*100/L158,0)</f>
        <v>0</v>
      </c>
      <c r="P158" s="50">
        <f>IF(M158&gt;0,N158*100/M158,0)</f>
        <v>0</v>
      </c>
    </row>
    <row r="159" spans="1:16" ht="18.75" x14ac:dyDescent="0.25">
      <c r="A159" s="136"/>
      <c r="B159" s="41"/>
      <c r="C159" s="41"/>
      <c r="D159" s="41"/>
      <c r="E159" s="254" t="s">
        <v>19</v>
      </c>
      <c r="F159" s="41"/>
      <c r="G159" s="43"/>
      <c r="H159" s="142" t="s">
        <v>12</v>
      </c>
      <c r="I159" s="45"/>
      <c r="J159" s="45"/>
      <c r="K159" s="46"/>
      <c r="L159" s="47">
        <f ca="1">L162+L165</f>
        <v>6000</v>
      </c>
      <c r="M159" s="47">
        <f ca="1">M162+M165</f>
        <v>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</row>
    <row r="160" spans="1:16" ht="18.75" x14ac:dyDescent="0.25">
      <c r="A160" s="136"/>
      <c r="B160" s="41"/>
      <c r="C160" s="41"/>
      <c r="D160" s="42" t="s">
        <v>20</v>
      </c>
      <c r="E160" s="41"/>
      <c r="F160" s="41"/>
      <c r="G160" s="43"/>
      <c r="H160" s="143" t="s">
        <v>12</v>
      </c>
      <c r="I160" s="144"/>
      <c r="J160" s="144"/>
      <c r="K160" s="145"/>
      <c r="L160" s="47">
        <f ca="1">L161+L162</f>
        <v>6000</v>
      </c>
      <c r="M160" s="47">
        <f ca="1">M161+M162</f>
        <v>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</row>
    <row r="161" spans="1:16" ht="18.75" hidden="1" x14ac:dyDescent="0.25">
      <c r="A161" s="136"/>
      <c r="B161" s="41"/>
      <c r="C161" s="41"/>
      <c r="D161" s="41"/>
      <c r="E161" s="279" t="s">
        <v>34</v>
      </c>
      <c r="F161" s="41"/>
      <c r="G161" s="43"/>
      <c r="H161" s="146" t="s">
        <v>12</v>
      </c>
      <c r="I161" s="144"/>
      <c r="J161" s="144"/>
      <c r="K161" s="145"/>
      <c r="L161" s="50">
        <v>0</v>
      </c>
      <c r="M161" s="50">
        <v>0</v>
      </c>
      <c r="N161" s="50">
        <v>0</v>
      </c>
      <c r="O161" s="50">
        <f>IF(L161&gt;0,N161*100/L161,0)</f>
        <v>0</v>
      </c>
      <c r="P161" s="50">
        <f>IF(M161&gt;0,N161*100/M161,0)</f>
        <v>0</v>
      </c>
    </row>
    <row r="162" spans="1:16" ht="18.75" x14ac:dyDescent="0.25">
      <c r="A162" s="136"/>
      <c r="B162" s="41"/>
      <c r="C162" s="41"/>
      <c r="D162" s="41"/>
      <c r="E162" s="254" t="s">
        <v>35</v>
      </c>
      <c r="F162" s="41"/>
      <c r="G162" s="43"/>
      <c r="H162" s="143" t="s">
        <v>12</v>
      </c>
      <c r="I162" s="144"/>
      <c r="J162" s="144"/>
      <c r="K162" s="145"/>
      <c r="L162" s="47">
        <f ca="1">IFERROR(__xludf.DUMMYFUNCTION("IMPORTRANGE(""https://docs.google.com/spreadsheets/d/1-uDff_7J0KD5mKrp0Vvzr7lt3OU09vwQwhkpOPPYv2Y/edit?usp=sharing"",""งบพรบ!CA23"")"),6000)</f>
        <v>6000</v>
      </c>
      <c r="M162" s="47">
        <f ca="1">IFERROR(__xludf.DUMMYFUNCTION("IMPORTRANGE(""https://docs.google.com/spreadsheets/d/1-uDff_7J0KD5mKrp0Vvzr7lt3OU09vwQwhkpOPPYv2Y/edit?usp=sharing"",""งบพรบ!CF23"")"),0)</f>
        <v>0</v>
      </c>
      <c r="N162" s="47">
        <f ca="1">IFERROR(__xludf.DUMMYFUNCTION("IMPORTRANGE(""https://docs.google.com/spreadsheets/d/1-uDff_7J0KD5mKrp0Vvzr7lt3OU09vwQwhkpOPPYv2Y/edit?usp=sharing"",""งบพรบ!CH23"")"),0)</f>
        <v>0</v>
      </c>
      <c r="O162" s="47">
        <f ca="1">IF(L162&gt;0,N162*100/L162,0)</f>
        <v>0</v>
      </c>
      <c r="P162" s="47">
        <f ca="1">IF(M162&gt;0,N162*100/M162,0)</f>
        <v>0</v>
      </c>
    </row>
    <row r="163" spans="1:16" ht="18.75" x14ac:dyDescent="0.25">
      <c r="A163" s="136"/>
      <c r="B163" s="41"/>
      <c r="C163" s="41"/>
      <c r="D163" s="42" t="s">
        <v>21</v>
      </c>
      <c r="E163" s="41"/>
      <c r="F163" s="41"/>
      <c r="G163" s="43"/>
      <c r="H163" s="147" t="s">
        <v>12</v>
      </c>
      <c r="I163" s="144"/>
      <c r="J163" s="144"/>
      <c r="K163" s="145"/>
      <c r="L163" s="47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</row>
    <row r="164" spans="1:16" ht="18.75" hidden="1" x14ac:dyDescent="0.25">
      <c r="A164" s="136"/>
      <c r="B164" s="41"/>
      <c r="C164" s="41"/>
      <c r="D164" s="41"/>
      <c r="E164" s="279" t="s">
        <v>18</v>
      </c>
      <c r="F164" s="41"/>
      <c r="G164" s="43"/>
      <c r="H164" s="146" t="s">
        <v>12</v>
      </c>
      <c r="I164" s="144"/>
      <c r="J164" s="144"/>
      <c r="K164" s="145"/>
      <c r="L164" s="50">
        <v>0</v>
      </c>
      <c r="M164" s="50">
        <v>0</v>
      </c>
      <c r="N164" s="50">
        <v>0</v>
      </c>
      <c r="O164" s="50">
        <f>IF(L164&gt;0,N164*100/L164,0)</f>
        <v>0</v>
      </c>
      <c r="P164" s="50">
        <f>IF(M164&gt;0,N164*100/M164,0)</f>
        <v>0</v>
      </c>
    </row>
    <row r="165" spans="1:16" ht="18.75" x14ac:dyDescent="0.25">
      <c r="A165" s="136"/>
      <c r="B165" s="41"/>
      <c r="C165" s="41"/>
      <c r="D165" s="41"/>
      <c r="E165" s="254" t="s">
        <v>19</v>
      </c>
      <c r="F165" s="41"/>
      <c r="G165" s="43"/>
      <c r="H165" s="147" t="s">
        <v>12</v>
      </c>
      <c r="I165" s="144"/>
      <c r="J165" s="144"/>
      <c r="K165" s="145"/>
      <c r="L165" s="47">
        <f ca="1">IFERROR(__xludf.DUMMYFUNCTION("IMPORTRANGE(""https://docs.google.com/spreadsheets/d/1-uDff_7J0KD5mKrp0Vvzr7lt3OU09vwQwhkpOPPYv2Y/edit?usp=sharing"",""งบพรบ!CD23"")"),0)</f>
        <v>0</v>
      </c>
      <c r="M165" s="47">
        <f ca="1">IFERROR(__xludf.DUMMYFUNCTION("IMPORTRANGE(""https://docs.google.com/spreadsheets/d/1-uDff_7J0KD5mKrp0Vvzr7lt3OU09vwQwhkpOPPYv2Y/edit?usp=sharing"",""งบพรบ!CG23"")"),0)</f>
        <v>0</v>
      </c>
      <c r="N165" s="47">
        <f ca="1">IFERROR(__xludf.DUMMYFUNCTION("IMPORTRANGE(""https://docs.google.com/spreadsheets/d/1-uDff_7J0KD5mKrp0Vvzr7lt3OU09vwQwhkpOPPYv2Y/edit?usp=sharing"",""งบพรบ!CI23"")"),0)</f>
        <v>0</v>
      </c>
      <c r="O165" s="47">
        <f ca="1">IF(L165&gt;0,N165*100/L165,0)</f>
        <v>0</v>
      </c>
      <c r="P165" s="47">
        <f ca="1">IF(M165&gt;0,N165*100/M165,0)</f>
        <v>0</v>
      </c>
    </row>
    <row r="166" spans="1:16" ht="19.5" x14ac:dyDescent="0.3">
      <c r="A166" s="148"/>
      <c r="B166" s="149"/>
      <c r="C166" s="197" t="s">
        <v>16</v>
      </c>
      <c r="D166" s="395" t="s">
        <v>36</v>
      </c>
      <c r="E166" s="151"/>
      <c r="F166" s="151"/>
      <c r="G166" s="152"/>
      <c r="H166" s="196"/>
      <c r="I166" s="45"/>
      <c r="J166" s="45"/>
      <c r="K166" s="46"/>
      <c r="L166" s="46"/>
      <c r="M166" s="46"/>
      <c r="N166" s="46"/>
      <c r="O166" s="46"/>
      <c r="P166" s="46"/>
    </row>
    <row r="167" spans="1:16" ht="18.75" x14ac:dyDescent="0.25">
      <c r="A167" s="136"/>
      <c r="B167" s="41"/>
      <c r="C167" s="41"/>
      <c r="D167" s="254" t="s">
        <v>63</v>
      </c>
      <c r="E167" s="41"/>
      <c r="F167" s="41"/>
      <c r="G167" s="43"/>
      <c r="H167" s="147" t="s">
        <v>33</v>
      </c>
      <c r="I167" s="169">
        <f ca="1">IFERROR(__xludf.DUMMYFUNCTION("IMPORTRANGE(""https://docs.google.com/spreadsheets/d/1eHaY18a8A9IcSdp1K8H6x8fbOy06t2VsZHhMHf-1x7Y/edit?usp=sharing"",""แผน!Z23"")"),20)</f>
        <v>20</v>
      </c>
      <c r="J167" s="250">
        <v>20</v>
      </c>
      <c r="K167" s="47">
        <f ca="1">IF(I167&gt;0,J167*100/I167,0)</f>
        <v>100</v>
      </c>
      <c r="L167" s="46"/>
      <c r="M167" s="46"/>
      <c r="N167" s="46"/>
      <c r="O167" s="46"/>
      <c r="P167" s="46"/>
    </row>
    <row r="168" spans="1:16" ht="18.75" hidden="1" x14ac:dyDescent="0.25">
      <c r="A168" s="136"/>
      <c r="B168" s="41"/>
      <c r="C168" s="41"/>
      <c r="D168" s="279" t="s">
        <v>64</v>
      </c>
      <c r="E168" s="41"/>
      <c r="F168" s="41"/>
      <c r="G168" s="43"/>
      <c r="H168" s="199" t="s">
        <v>33</v>
      </c>
      <c r="I168" s="200">
        <f ca="1">I167</f>
        <v>20</v>
      </c>
      <c r="J168" s="201">
        <v>0</v>
      </c>
      <c r="K168" s="50">
        <f ca="1">IF(I168&gt;0,J168*100/I168,0)</f>
        <v>0</v>
      </c>
      <c r="L168" s="46"/>
      <c r="M168" s="46"/>
      <c r="N168" s="46"/>
      <c r="O168" s="46"/>
      <c r="P168" s="46"/>
    </row>
    <row r="169" spans="1:16" ht="18.75" hidden="1" x14ac:dyDescent="0.25">
      <c r="A169" s="202"/>
      <c r="B169" s="1"/>
      <c r="C169" s="1"/>
      <c r="D169" s="203" t="s">
        <v>65</v>
      </c>
      <c r="E169" s="1"/>
      <c r="F169" s="1"/>
      <c r="G169" s="54"/>
      <c r="H169" s="204" t="s">
        <v>33</v>
      </c>
      <c r="I169" s="205">
        <f ca="1">I167</f>
        <v>20</v>
      </c>
      <c r="J169" s="206">
        <v>0</v>
      </c>
      <c r="K169" s="207">
        <f ca="1">IF(I169&gt;0,J169*100/I169,0)</f>
        <v>0</v>
      </c>
      <c r="L169" s="57"/>
      <c r="M169" s="57"/>
      <c r="N169" s="57"/>
      <c r="O169" s="57"/>
      <c r="P169" s="57"/>
    </row>
    <row r="170" spans="1:16" ht="19.5" x14ac:dyDescent="0.3">
      <c r="A170" s="208" t="s">
        <v>66</v>
      </c>
      <c r="B170" s="209"/>
      <c r="C170" s="209"/>
      <c r="D170" s="209"/>
      <c r="E170" s="210"/>
      <c r="F170" s="210"/>
      <c r="G170" s="210"/>
      <c r="H170" s="210"/>
      <c r="I170" s="211"/>
      <c r="J170" s="211"/>
      <c r="K170" s="212"/>
      <c r="L170" s="212"/>
      <c r="M170" s="212"/>
      <c r="N170" s="212"/>
      <c r="O170" s="212"/>
      <c r="P170" s="213"/>
    </row>
    <row r="171" spans="1:16" ht="19.5" x14ac:dyDescent="0.3">
      <c r="A171" s="214" t="s">
        <v>67</v>
      </c>
      <c r="B171" s="215"/>
      <c r="C171" s="215"/>
      <c r="D171" s="216"/>
      <c r="E171" s="216"/>
      <c r="F171" s="216"/>
      <c r="G171" s="216"/>
      <c r="H171" s="217"/>
      <c r="I171" s="218"/>
      <c r="J171" s="218"/>
      <c r="K171" s="219"/>
      <c r="L171" s="219"/>
      <c r="M171" s="219"/>
      <c r="N171" s="219"/>
      <c r="O171" s="219"/>
      <c r="P171" s="219"/>
    </row>
    <row r="172" spans="1:16" ht="19.5" x14ac:dyDescent="0.3">
      <c r="A172" s="220"/>
      <c r="B172" s="221" t="s">
        <v>68</v>
      </c>
      <c r="C172" s="222"/>
      <c r="D172" s="151"/>
      <c r="E172" s="151"/>
      <c r="F172" s="151"/>
      <c r="G172" s="152"/>
      <c r="H172" s="223" t="s">
        <v>33</v>
      </c>
      <c r="I172" s="224">
        <f ca="1">I183+I184</f>
        <v>7</v>
      </c>
      <c r="J172" s="224">
        <f>J183+J184</f>
        <v>0</v>
      </c>
      <c r="K172" s="225">
        <f ca="1">IF(I172&gt;0,J172*100/I172,0)</f>
        <v>0</v>
      </c>
      <c r="L172" s="226"/>
      <c r="M172" s="226"/>
      <c r="N172" s="226"/>
      <c r="O172" s="226"/>
      <c r="P172" s="226"/>
    </row>
    <row r="173" spans="1:16" ht="19.5" x14ac:dyDescent="0.3">
      <c r="A173" s="136"/>
      <c r="B173" s="41"/>
      <c r="C173" s="197" t="s">
        <v>16</v>
      </c>
      <c r="D173" s="397" t="s">
        <v>17</v>
      </c>
      <c r="E173" s="41"/>
      <c r="F173" s="41"/>
      <c r="G173" s="43"/>
      <c r="H173" s="139" t="s">
        <v>12</v>
      </c>
      <c r="I173" s="45"/>
      <c r="J173" s="45"/>
      <c r="K173" s="46"/>
      <c r="L173" s="140">
        <f ca="1">L174+L175</f>
        <v>19590</v>
      </c>
      <c r="M173" s="140">
        <f ca="1">M174+M175</f>
        <v>19590</v>
      </c>
      <c r="N173" s="140">
        <f ca="1">N174+N175</f>
        <v>0</v>
      </c>
      <c r="O173" s="140">
        <f ca="1">IF(L173&gt;0,N173*100/L173,0)</f>
        <v>0</v>
      </c>
      <c r="P173" s="140">
        <f ca="1">IF(M173&gt;0,N173*100/M173,0)</f>
        <v>0</v>
      </c>
    </row>
    <row r="174" spans="1:16" ht="18.75" hidden="1" x14ac:dyDescent="0.25">
      <c r="A174" s="136"/>
      <c r="B174" s="41"/>
      <c r="C174" s="41"/>
      <c r="D174" s="41"/>
      <c r="E174" s="279" t="s">
        <v>18</v>
      </c>
      <c r="F174" s="41"/>
      <c r="G174" s="43"/>
      <c r="H174" s="141" t="s">
        <v>12</v>
      </c>
      <c r="I174" s="45"/>
      <c r="J174" s="45"/>
      <c r="K174" s="46"/>
      <c r="L174" s="50">
        <f>L177+L180</f>
        <v>0</v>
      </c>
      <c r="M174" s="50">
        <f>M177+M180</f>
        <v>0</v>
      </c>
      <c r="N174" s="50">
        <f>N177+N180</f>
        <v>0</v>
      </c>
      <c r="O174" s="50">
        <f>IF(L174&gt;0,N174*100/L174,0)</f>
        <v>0</v>
      </c>
      <c r="P174" s="50">
        <f>IF(M174&gt;0,N174*100/M174,0)</f>
        <v>0</v>
      </c>
    </row>
    <row r="175" spans="1:16" ht="18.75" x14ac:dyDescent="0.25">
      <c r="A175" s="136"/>
      <c r="B175" s="41"/>
      <c r="C175" s="41"/>
      <c r="D175" s="41"/>
      <c r="E175" s="254" t="s">
        <v>19</v>
      </c>
      <c r="F175" s="41"/>
      <c r="G175" s="43"/>
      <c r="H175" s="142" t="s">
        <v>12</v>
      </c>
      <c r="I175" s="45"/>
      <c r="J175" s="45"/>
      <c r="K175" s="46"/>
      <c r="L175" s="47">
        <f ca="1">L178+L181</f>
        <v>19590</v>
      </c>
      <c r="M175" s="47">
        <f ca="1">M178+M181</f>
        <v>19590</v>
      </c>
      <c r="N175" s="47">
        <f ca="1">N178+N181</f>
        <v>0</v>
      </c>
      <c r="O175" s="47">
        <f ca="1">IF(L175&gt;0,N175*100/L175,0)</f>
        <v>0</v>
      </c>
      <c r="P175" s="47">
        <f ca="1">IF(M175&gt;0,N175*100/M175,0)</f>
        <v>0</v>
      </c>
    </row>
    <row r="176" spans="1:16" ht="18.75" x14ac:dyDescent="0.25">
      <c r="A176" s="136"/>
      <c r="B176" s="41"/>
      <c r="C176" s="41"/>
      <c r="D176" s="42" t="s">
        <v>20</v>
      </c>
      <c r="E176" s="41"/>
      <c r="F176" s="41"/>
      <c r="G176" s="43"/>
      <c r="H176" s="143" t="s">
        <v>12</v>
      </c>
      <c r="I176" s="144"/>
      <c r="J176" s="144"/>
      <c r="K176" s="145"/>
      <c r="L176" s="47">
        <f ca="1">L177+L178</f>
        <v>19590</v>
      </c>
      <c r="M176" s="47">
        <f ca="1">M177+M178</f>
        <v>19590</v>
      </c>
      <c r="N176" s="47">
        <f ca="1">N177+N178</f>
        <v>0</v>
      </c>
      <c r="O176" s="47">
        <f ca="1">IF(L176&gt;0,N176*100/L176,0)</f>
        <v>0</v>
      </c>
      <c r="P176" s="47">
        <f ca="1">IF(M176&gt;0,N176*100/M176,0)</f>
        <v>0</v>
      </c>
    </row>
    <row r="177" spans="1:16" ht="18.75" hidden="1" x14ac:dyDescent="0.25">
      <c r="A177" s="136"/>
      <c r="B177" s="41"/>
      <c r="C177" s="41"/>
      <c r="D177" s="41"/>
      <c r="E177" s="279" t="s">
        <v>34</v>
      </c>
      <c r="F177" s="41"/>
      <c r="G177" s="43"/>
      <c r="H177" s="146" t="s">
        <v>12</v>
      </c>
      <c r="I177" s="144"/>
      <c r="J177" s="144"/>
      <c r="K177" s="145"/>
      <c r="L177" s="50">
        <v>0</v>
      </c>
      <c r="M177" s="50">
        <v>0</v>
      </c>
      <c r="N177" s="50">
        <v>0</v>
      </c>
      <c r="O177" s="50">
        <f>IF(L177&gt;0,N177*100/L177,0)</f>
        <v>0</v>
      </c>
      <c r="P177" s="50">
        <f>IF(M177&gt;0,N177*100/M177,0)</f>
        <v>0</v>
      </c>
    </row>
    <row r="178" spans="1:16" ht="18.75" x14ac:dyDescent="0.25">
      <c r="A178" s="136"/>
      <c r="B178" s="41"/>
      <c r="C178" s="41"/>
      <c r="D178" s="41"/>
      <c r="E178" s="254" t="s">
        <v>35</v>
      </c>
      <c r="F178" s="41"/>
      <c r="G178" s="43"/>
      <c r="H178" s="143" t="s">
        <v>12</v>
      </c>
      <c r="I178" s="144"/>
      <c r="J178" s="144"/>
      <c r="K178" s="145"/>
      <c r="L178" s="47">
        <f ca="1">IFERROR(__xludf.DUMMYFUNCTION("IMPORTRANGE(""https://docs.google.com/spreadsheets/d/1-uDff_7J0KD5mKrp0Vvzr7lt3OU09vwQwhkpOPPYv2Y/edit?usp=sharing"",""งบพรบ!CK23"")"),19590)</f>
        <v>19590</v>
      </c>
      <c r="M178" s="47">
        <f ca="1">IFERROR(__xludf.DUMMYFUNCTION("IMPORTRANGE(""https://docs.google.com/spreadsheets/d/1-uDff_7J0KD5mKrp0Vvzr7lt3OU09vwQwhkpOPPYv2Y/edit?usp=sharing"",""งบพรบ!CP23"")"),19590)</f>
        <v>19590</v>
      </c>
      <c r="N178" s="47">
        <f ca="1">IFERROR(__xludf.DUMMYFUNCTION("IMPORTRANGE(""https://docs.google.com/spreadsheets/d/1-uDff_7J0KD5mKrp0Vvzr7lt3OU09vwQwhkpOPPYv2Y/edit?usp=sharing"",""งบพรบ!CR23"")"),0)</f>
        <v>0</v>
      </c>
      <c r="O178" s="47">
        <f ca="1">IF(L178&gt;0,N178*100/L178,0)</f>
        <v>0</v>
      </c>
      <c r="P178" s="47">
        <f ca="1">IF(M178&gt;0,N178*100/M178,0)</f>
        <v>0</v>
      </c>
    </row>
    <row r="179" spans="1:16" ht="18.75" x14ac:dyDescent="0.25">
      <c r="A179" s="136"/>
      <c r="B179" s="41"/>
      <c r="C179" s="41"/>
      <c r="D179" s="42" t="s">
        <v>21</v>
      </c>
      <c r="E179" s="41"/>
      <c r="F179" s="41"/>
      <c r="G179" s="43"/>
      <c r="H179" s="147" t="s">
        <v>12</v>
      </c>
      <c r="I179" s="144"/>
      <c r="J179" s="144"/>
      <c r="K179" s="145"/>
      <c r="L179" s="47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</row>
    <row r="180" spans="1:16" ht="18.75" hidden="1" x14ac:dyDescent="0.25">
      <c r="A180" s="136"/>
      <c r="B180" s="41"/>
      <c r="C180" s="41"/>
      <c r="D180" s="41"/>
      <c r="E180" s="279" t="s">
        <v>18</v>
      </c>
      <c r="F180" s="41"/>
      <c r="G180" s="43"/>
      <c r="H180" s="146" t="s">
        <v>12</v>
      </c>
      <c r="I180" s="144"/>
      <c r="J180" s="144"/>
      <c r="K180" s="145"/>
      <c r="L180" s="50">
        <v>0</v>
      </c>
      <c r="M180" s="50">
        <v>0</v>
      </c>
      <c r="N180" s="50">
        <v>0</v>
      </c>
      <c r="O180" s="50">
        <f>IF(L180&gt;0,N180*100/L180,0)</f>
        <v>0</v>
      </c>
      <c r="P180" s="50">
        <f>IF(M180&gt;0,N180*100/M180,0)</f>
        <v>0</v>
      </c>
    </row>
    <row r="181" spans="1:16" ht="18.75" x14ac:dyDescent="0.25">
      <c r="A181" s="136"/>
      <c r="B181" s="41"/>
      <c r="C181" s="41"/>
      <c r="D181" s="41"/>
      <c r="E181" s="254" t="s">
        <v>19</v>
      </c>
      <c r="F181" s="41"/>
      <c r="G181" s="43"/>
      <c r="H181" s="147" t="s">
        <v>12</v>
      </c>
      <c r="I181" s="144"/>
      <c r="J181" s="144"/>
      <c r="K181" s="145"/>
      <c r="L181" s="47">
        <f ca="1">IFERROR(__xludf.DUMMYFUNCTION("IMPORTRANGE(""https://docs.google.com/spreadsheets/d/1-uDff_7J0KD5mKrp0Vvzr7lt3OU09vwQwhkpOPPYv2Y/edit?usp=sharing"",""งบพรบ!CN23"")"),0)</f>
        <v>0</v>
      </c>
      <c r="M181" s="47">
        <f ca="1">IFERROR(__xludf.DUMMYFUNCTION("IMPORTRANGE(""https://docs.google.com/spreadsheets/d/1-uDff_7J0KD5mKrp0Vvzr7lt3OU09vwQwhkpOPPYv2Y/edit?usp=sharing"",""งบพรบ!CQ23"")"),0)</f>
        <v>0</v>
      </c>
      <c r="N181" s="47">
        <f ca="1">IFERROR(__xludf.DUMMYFUNCTION("IMPORTRANGE(""https://docs.google.com/spreadsheets/d/1-uDff_7J0KD5mKrp0Vvzr7lt3OU09vwQwhkpOPPYv2Y/edit?usp=sharing"",""งบพรบ!CS23"")"),0)</f>
        <v>0</v>
      </c>
      <c r="O181" s="47">
        <f ca="1">IF(L181&gt;0,N181*100/L181,0)</f>
        <v>0</v>
      </c>
      <c r="P181" s="47">
        <f ca="1">IF(M181&gt;0,N181*100/M181,0)</f>
        <v>0</v>
      </c>
    </row>
    <row r="182" spans="1:16" ht="19.5" x14ac:dyDescent="0.3">
      <c r="A182" s="148"/>
      <c r="B182" s="149"/>
      <c r="C182" s="197" t="s">
        <v>16</v>
      </c>
      <c r="D182" s="395" t="s">
        <v>36</v>
      </c>
      <c r="E182" s="151"/>
      <c r="F182" s="151"/>
      <c r="G182" s="152"/>
      <c r="H182" s="196"/>
      <c r="I182" s="45"/>
      <c r="J182" s="45"/>
      <c r="K182" s="46"/>
      <c r="L182" s="46"/>
      <c r="M182" s="46"/>
      <c r="N182" s="46"/>
      <c r="O182" s="46"/>
      <c r="P182" s="46"/>
    </row>
    <row r="183" spans="1:16" ht="18.75" x14ac:dyDescent="0.25">
      <c r="A183" s="227"/>
      <c r="B183" s="41"/>
      <c r="C183" s="228"/>
      <c r="D183" s="229" t="s">
        <v>69</v>
      </c>
      <c r="E183" s="41"/>
      <c r="F183" s="41"/>
      <c r="G183" s="43"/>
      <c r="H183" s="230" t="s">
        <v>33</v>
      </c>
      <c r="I183" s="169">
        <f ca="1">IFERROR(__xludf.DUMMYFUNCTION("IMPORTRANGE(""https://docs.google.com/spreadsheets/d/1eHaY18a8A9IcSdp1K8H6x8fbOy06t2VsZHhMHf-1x7Y/edit?usp=sharing"",""แผน!AA23"")"),7)</f>
        <v>7</v>
      </c>
      <c r="J183" s="250">
        <v>0</v>
      </c>
      <c r="K183" s="47">
        <f ca="1">IF(I183&gt;0,J183*100/I183,0)</f>
        <v>0</v>
      </c>
      <c r="L183" s="46"/>
      <c r="M183" s="46"/>
      <c r="N183" s="46"/>
      <c r="O183" s="46"/>
      <c r="P183" s="46"/>
    </row>
    <row r="184" spans="1:16" ht="18.75" hidden="1" x14ac:dyDescent="0.25">
      <c r="A184" s="227"/>
      <c r="B184" s="228"/>
      <c r="C184" s="228"/>
      <c r="D184" s="231" t="s">
        <v>70</v>
      </c>
      <c r="E184" s="41"/>
      <c r="F184" s="41"/>
      <c r="G184" s="43"/>
      <c r="H184" s="232" t="s">
        <v>33</v>
      </c>
      <c r="I184" s="200">
        <v>0</v>
      </c>
      <c r="J184" s="200">
        <v>0</v>
      </c>
      <c r="K184" s="50">
        <f>IF(I184&gt;0,J184*100/I184,0)</f>
        <v>0</v>
      </c>
      <c r="L184" s="46"/>
      <c r="M184" s="46"/>
      <c r="N184" s="46"/>
      <c r="O184" s="46"/>
      <c r="P184" s="46"/>
    </row>
    <row r="185" spans="1:16" ht="19.5" x14ac:dyDescent="0.3">
      <c r="A185" s="220"/>
      <c r="B185" s="221" t="s">
        <v>71</v>
      </c>
      <c r="C185" s="222"/>
      <c r="D185" s="151"/>
      <c r="E185" s="151"/>
      <c r="F185" s="151"/>
      <c r="G185" s="152"/>
      <c r="H185" s="223" t="s">
        <v>33</v>
      </c>
      <c r="I185" s="224">
        <f ca="1">I230+I231</f>
        <v>0</v>
      </c>
      <c r="J185" s="224">
        <f>J230+J231</f>
        <v>0</v>
      </c>
      <c r="K185" s="225">
        <f ca="1">IF(I185&gt;0,J185*100/I185,0)</f>
        <v>0</v>
      </c>
      <c r="L185" s="226"/>
      <c r="M185" s="226"/>
      <c r="N185" s="226"/>
      <c r="O185" s="226"/>
      <c r="P185" s="226"/>
    </row>
    <row r="186" spans="1:16" ht="19.5" x14ac:dyDescent="0.3">
      <c r="A186" s="136"/>
      <c r="B186" s="41"/>
      <c r="C186" s="197" t="s">
        <v>16</v>
      </c>
      <c r="D186" s="397" t="s">
        <v>17</v>
      </c>
      <c r="E186" s="41"/>
      <c r="F186" s="41"/>
      <c r="G186" s="43"/>
      <c r="H186" s="139" t="s">
        <v>12</v>
      </c>
      <c r="I186" s="45"/>
      <c r="J186" s="45"/>
      <c r="K186" s="46"/>
      <c r="L186" s="140">
        <f ca="1">L187+L188</f>
        <v>198500</v>
      </c>
      <c r="M186" s="140">
        <f ca="1">M187+M188</f>
        <v>123500</v>
      </c>
      <c r="N186" s="140">
        <f ca="1">N187+N188</f>
        <v>13000</v>
      </c>
      <c r="O186" s="140">
        <f ca="1">IF(L186&gt;0,N186*100/L186,0)</f>
        <v>6.5491183879093198</v>
      </c>
      <c r="P186" s="140">
        <f ca="1">IF(M186&gt;0,N186*100/M186,0)</f>
        <v>10.526315789473685</v>
      </c>
    </row>
    <row r="187" spans="1:16" ht="18.75" hidden="1" x14ac:dyDescent="0.25">
      <c r="A187" s="136"/>
      <c r="B187" s="41"/>
      <c r="C187" s="41"/>
      <c r="D187" s="41"/>
      <c r="E187" s="279" t="s">
        <v>18</v>
      </c>
      <c r="F187" s="41"/>
      <c r="G187" s="43"/>
      <c r="H187" s="141" t="s">
        <v>12</v>
      </c>
      <c r="I187" s="45"/>
      <c r="J187" s="45"/>
      <c r="K187" s="46"/>
      <c r="L187" s="50">
        <f>L190+L193</f>
        <v>0</v>
      </c>
      <c r="M187" s="50">
        <f>M190+M193</f>
        <v>0</v>
      </c>
      <c r="N187" s="50">
        <f>N190+N193</f>
        <v>0</v>
      </c>
      <c r="O187" s="50">
        <f>IF(L187&gt;0,N187*100/L187,0)</f>
        <v>0</v>
      </c>
      <c r="P187" s="50">
        <f>IF(M187&gt;0,N187*100/M187,0)</f>
        <v>0</v>
      </c>
    </row>
    <row r="188" spans="1:16" ht="18.75" x14ac:dyDescent="0.25">
      <c r="A188" s="136"/>
      <c r="B188" s="41"/>
      <c r="C188" s="41"/>
      <c r="D188" s="41"/>
      <c r="E188" s="254" t="s">
        <v>19</v>
      </c>
      <c r="F188" s="41"/>
      <c r="G188" s="43"/>
      <c r="H188" s="142" t="s">
        <v>12</v>
      </c>
      <c r="I188" s="45"/>
      <c r="J188" s="45"/>
      <c r="K188" s="46"/>
      <c r="L188" s="47">
        <f ca="1">L191+L194</f>
        <v>198500</v>
      </c>
      <c r="M188" s="47">
        <f ca="1">M191+M194</f>
        <v>123500</v>
      </c>
      <c r="N188" s="47">
        <f ca="1">N191+N194</f>
        <v>13000</v>
      </c>
      <c r="O188" s="47">
        <f ca="1">IF(L188&gt;0,N188*100/L188,0)</f>
        <v>6.5491183879093198</v>
      </c>
      <c r="P188" s="47">
        <f ca="1">IF(M188&gt;0,N188*100/M188,0)</f>
        <v>10.526315789473685</v>
      </c>
    </row>
    <row r="189" spans="1:16" ht="18.75" x14ac:dyDescent="0.25">
      <c r="A189" s="136"/>
      <c r="B189" s="41"/>
      <c r="C189" s="41"/>
      <c r="D189" s="42" t="s">
        <v>20</v>
      </c>
      <c r="E189" s="41"/>
      <c r="F189" s="41"/>
      <c r="G189" s="43"/>
      <c r="H189" s="143" t="s">
        <v>12</v>
      </c>
      <c r="I189" s="144"/>
      <c r="J189" s="144"/>
      <c r="K189" s="145"/>
      <c r="L189" s="47">
        <f ca="1">L190+L191</f>
        <v>198500</v>
      </c>
      <c r="M189" s="47">
        <f ca="1">M190+M191</f>
        <v>123500</v>
      </c>
      <c r="N189" s="47">
        <f ca="1">N190+N191</f>
        <v>13000</v>
      </c>
      <c r="O189" s="47">
        <f ca="1">IF(L189&gt;0,N189*100/L189,0)</f>
        <v>6.5491183879093198</v>
      </c>
      <c r="P189" s="47">
        <f ca="1">IF(M189&gt;0,N189*100/M189,0)</f>
        <v>10.526315789473685</v>
      </c>
    </row>
    <row r="190" spans="1:16" ht="18.75" hidden="1" x14ac:dyDescent="0.25">
      <c r="A190" s="136"/>
      <c r="B190" s="41"/>
      <c r="C190" s="41"/>
      <c r="D190" s="41"/>
      <c r="E190" s="279" t="s">
        <v>34</v>
      </c>
      <c r="F190" s="41"/>
      <c r="G190" s="43"/>
      <c r="H190" s="146" t="s">
        <v>12</v>
      </c>
      <c r="I190" s="144"/>
      <c r="J190" s="144"/>
      <c r="K190" s="145"/>
      <c r="L190" s="50">
        <v>0</v>
      </c>
      <c r="M190" s="50">
        <v>0</v>
      </c>
      <c r="N190" s="50">
        <v>0</v>
      </c>
      <c r="O190" s="50">
        <f>IF(L190&gt;0,N190*100/L190,0)</f>
        <v>0</v>
      </c>
      <c r="P190" s="50">
        <f>IF(M190&gt;0,N190*100/M190,0)</f>
        <v>0</v>
      </c>
    </row>
    <row r="191" spans="1:16" ht="18.75" x14ac:dyDescent="0.25">
      <c r="A191" s="136"/>
      <c r="B191" s="41"/>
      <c r="C191" s="41"/>
      <c r="D191" s="41"/>
      <c r="E191" s="254" t="s">
        <v>35</v>
      </c>
      <c r="F191" s="41"/>
      <c r="G191" s="43"/>
      <c r="H191" s="143" t="s">
        <v>12</v>
      </c>
      <c r="I191" s="144"/>
      <c r="J191" s="144"/>
      <c r="K191" s="145"/>
      <c r="L191" s="47">
        <f ca="1">IFERROR(__xludf.DUMMYFUNCTION("IMPORTRANGE(""https://docs.google.com/spreadsheets/d/1-uDff_7J0KD5mKrp0Vvzr7lt3OU09vwQwhkpOPPYv2Y/edit?usp=sharing"",""งบพรบ!CU23"")"),198500)</f>
        <v>198500</v>
      </c>
      <c r="M191" s="47">
        <f ca="1">IFERROR(__xludf.DUMMYFUNCTION("IMPORTRANGE(""https://docs.google.com/spreadsheets/d/1-uDff_7J0KD5mKrp0Vvzr7lt3OU09vwQwhkpOPPYv2Y/edit?usp=sharing"",""งบพรบ!CZ23"")"),123500)</f>
        <v>123500</v>
      </c>
      <c r="N191" s="47">
        <f ca="1">IFERROR(__xludf.DUMMYFUNCTION("IMPORTRANGE(""https://docs.google.com/spreadsheets/d/1-uDff_7J0KD5mKrp0Vvzr7lt3OU09vwQwhkpOPPYv2Y/edit?usp=sharing"",""งบพรบ!DB23"")"),13000)</f>
        <v>13000</v>
      </c>
      <c r="O191" s="47">
        <f ca="1">IF(L191&gt;0,N191*100/L191,0)</f>
        <v>6.5491183879093198</v>
      </c>
      <c r="P191" s="47">
        <f ca="1">IF(M191&gt;0,N191*100/M191,0)</f>
        <v>10.526315789473685</v>
      </c>
    </row>
    <row r="192" spans="1:16" ht="18.75" x14ac:dyDescent="0.25">
      <c r="A192" s="136"/>
      <c r="B192" s="41"/>
      <c r="C192" s="41"/>
      <c r="D192" s="42" t="s">
        <v>21</v>
      </c>
      <c r="E192" s="41"/>
      <c r="F192" s="41"/>
      <c r="G192" s="43"/>
      <c r="H192" s="147" t="s">
        <v>12</v>
      </c>
      <c r="I192" s="144"/>
      <c r="J192" s="144"/>
      <c r="K192" s="145"/>
      <c r="L192" s="47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</row>
    <row r="193" spans="1:16" ht="18.75" hidden="1" x14ac:dyDescent="0.25">
      <c r="A193" s="136"/>
      <c r="B193" s="41"/>
      <c r="C193" s="41"/>
      <c r="D193" s="41"/>
      <c r="E193" s="279" t="s">
        <v>18</v>
      </c>
      <c r="F193" s="41"/>
      <c r="G193" s="43"/>
      <c r="H193" s="146" t="s">
        <v>12</v>
      </c>
      <c r="I193" s="144"/>
      <c r="J193" s="144"/>
      <c r="K193" s="145"/>
      <c r="L193" s="50">
        <v>0</v>
      </c>
      <c r="M193" s="50">
        <v>0</v>
      </c>
      <c r="N193" s="50">
        <v>0</v>
      </c>
      <c r="O193" s="50">
        <f>IF(L193&gt;0,N193*100/L193,0)</f>
        <v>0</v>
      </c>
      <c r="P193" s="50">
        <f>IF(M193&gt;0,N193*100/M193,0)</f>
        <v>0</v>
      </c>
    </row>
    <row r="194" spans="1:16" ht="18.75" x14ac:dyDescent="0.25">
      <c r="A194" s="136"/>
      <c r="B194" s="41"/>
      <c r="C194" s="41"/>
      <c r="D194" s="41"/>
      <c r="E194" s="254" t="s">
        <v>19</v>
      </c>
      <c r="F194" s="41"/>
      <c r="G194" s="43"/>
      <c r="H194" s="147" t="s">
        <v>12</v>
      </c>
      <c r="I194" s="144"/>
      <c r="J194" s="144"/>
      <c r="K194" s="145"/>
      <c r="L194" s="47">
        <f ca="1">IFERROR(__xludf.DUMMYFUNCTION("IMPORTRANGE(""https://docs.google.com/spreadsheets/d/1-uDff_7J0KD5mKrp0Vvzr7lt3OU09vwQwhkpOPPYv2Y/edit?usp=sharing"",""งบพรบ!CX23"")"),0)</f>
        <v>0</v>
      </c>
      <c r="M194" s="47">
        <f ca="1">IFERROR(__xludf.DUMMYFUNCTION("IMPORTRANGE(""https://docs.google.com/spreadsheets/d/1-uDff_7J0KD5mKrp0Vvzr7lt3OU09vwQwhkpOPPYv2Y/edit?usp=sharing"",""งบพรบ!DA23"")"),0)</f>
        <v>0</v>
      </c>
      <c r="N194" s="47">
        <f ca="1">IFERROR(__xludf.DUMMYFUNCTION("IMPORTRANGE(""https://docs.google.com/spreadsheets/d/1-uDff_7J0KD5mKrp0Vvzr7lt3OU09vwQwhkpOPPYv2Y/edit?usp=sharing"",""งบพรบ!DC23"")"),0)</f>
        <v>0</v>
      </c>
      <c r="O194" s="47">
        <f ca="1">IF(L194&gt;0,N194*100/L194,0)</f>
        <v>0</v>
      </c>
      <c r="P194" s="47">
        <f ca="1">IF(M194&gt;0,N194*100/M194,0)</f>
        <v>0</v>
      </c>
    </row>
    <row r="195" spans="1:16" ht="19.5" x14ac:dyDescent="0.3">
      <c r="A195" s="233"/>
      <c r="B195" s="234"/>
      <c r="C195" s="235" t="s">
        <v>72</v>
      </c>
      <c r="D195" s="236"/>
      <c r="E195" s="236"/>
      <c r="F195" s="236"/>
      <c r="G195" s="237"/>
      <c r="H195" s="238" t="s">
        <v>73</v>
      </c>
      <c r="I195" s="239">
        <f ca="1">I198</f>
        <v>4</v>
      </c>
      <c r="J195" s="239">
        <f>J198</f>
        <v>1</v>
      </c>
      <c r="K195" s="240">
        <f ca="1">IF(I195&gt;0,J195*100/I195,0)</f>
        <v>25</v>
      </c>
      <c r="L195" s="241"/>
      <c r="M195" s="241"/>
      <c r="N195" s="241"/>
      <c r="O195" s="241"/>
      <c r="P195" s="241"/>
    </row>
    <row r="196" spans="1:16" ht="19.5" x14ac:dyDescent="0.3">
      <c r="A196" s="136"/>
      <c r="B196" s="41"/>
      <c r="C196" s="197" t="s">
        <v>16</v>
      </c>
      <c r="D196" s="400" t="s">
        <v>17</v>
      </c>
      <c r="E196" s="41"/>
      <c r="F196" s="41"/>
      <c r="G196" s="43"/>
      <c r="H196" s="243" t="s">
        <v>12</v>
      </c>
      <c r="I196" s="45"/>
      <c r="J196" s="45"/>
      <c r="K196" s="46"/>
      <c r="L196" s="140">
        <f ca="1">IFERROR(__xludf.DUMMYFUNCTION("IMPORTRANGE(""https://docs.google.com/spreadsheets/d/1eHaY18a8A9IcSdp1K8H6x8fbOy06t2VsZHhMHf-1x7Y/edit?usp=sharing"",""แผน!AB23"")"),6000)</f>
        <v>6000</v>
      </c>
      <c r="M196" s="46"/>
      <c r="N196" s="244">
        <v>0</v>
      </c>
      <c r="O196" s="140">
        <f ca="1">IF(L196&gt;0,N196*100/L196,0)</f>
        <v>0</v>
      </c>
      <c r="P196" s="140">
        <f>IF(M196&gt;0,N196*100/M196,0)</f>
        <v>0</v>
      </c>
    </row>
    <row r="197" spans="1:16" ht="19.5" x14ac:dyDescent="0.3">
      <c r="A197" s="148"/>
      <c r="B197" s="149"/>
      <c r="C197" s="197" t="s">
        <v>16</v>
      </c>
      <c r="D197" s="395" t="s">
        <v>36</v>
      </c>
      <c r="E197" s="151"/>
      <c r="F197" s="151"/>
      <c r="G197" s="152"/>
      <c r="H197" s="153"/>
      <c r="I197" s="45"/>
      <c r="J197" s="45"/>
      <c r="K197" s="46"/>
      <c r="L197" s="46"/>
      <c r="M197" s="46"/>
      <c r="N197" s="46"/>
      <c r="O197" s="46"/>
      <c r="P197" s="46"/>
    </row>
    <row r="198" spans="1:16" ht="18.75" x14ac:dyDescent="0.25">
      <c r="A198" s="148"/>
      <c r="B198" s="149"/>
      <c r="C198" s="149"/>
      <c r="D198" s="159" t="s">
        <v>74</v>
      </c>
      <c r="E198" s="155"/>
      <c r="F198" s="155"/>
      <c r="G198" s="153"/>
      <c r="H198" s="251" t="s">
        <v>73</v>
      </c>
      <c r="I198" s="169">
        <f ca="1">IFERROR(__xludf.DUMMYFUNCTION("IMPORTRANGE(""https://docs.google.com/spreadsheets/d/1eHaY18a8A9IcSdp1K8H6x8fbOy06t2VsZHhMHf-1x7Y/edit?usp=sharing"",""แผน!AE23"")"),4)</f>
        <v>4</v>
      </c>
      <c r="J198" s="250">
        <v>1</v>
      </c>
      <c r="K198" s="47">
        <f ca="1">IF(I198&gt;0,J198*100/I198,0)</f>
        <v>25</v>
      </c>
      <c r="L198" s="46"/>
      <c r="M198" s="46"/>
      <c r="N198" s="46"/>
      <c r="O198" s="46"/>
      <c r="P198" s="46"/>
    </row>
    <row r="199" spans="1:16" ht="18.75" x14ac:dyDescent="0.25">
      <c r="A199" s="148"/>
      <c r="B199" s="149"/>
      <c r="C199" s="149"/>
      <c r="D199" s="159" t="s">
        <v>75</v>
      </c>
      <c r="E199" s="155"/>
      <c r="F199" s="155"/>
      <c r="G199" s="153"/>
      <c r="H199" s="230" t="s">
        <v>33</v>
      </c>
      <c r="I199" s="45"/>
      <c r="J199" s="169">
        <f>J200+J201</f>
        <v>1</v>
      </c>
      <c r="K199" s="46"/>
      <c r="L199" s="46"/>
      <c r="M199" s="46"/>
      <c r="N199" s="46"/>
      <c r="O199" s="46"/>
      <c r="P199" s="46"/>
    </row>
    <row r="200" spans="1:16" ht="18.75" x14ac:dyDescent="0.25">
      <c r="A200" s="148"/>
      <c r="B200" s="149"/>
      <c r="C200" s="149"/>
      <c r="D200" s="149"/>
      <c r="E200" s="159" t="s">
        <v>76</v>
      </c>
      <c r="F200" s="155"/>
      <c r="G200" s="153"/>
      <c r="H200" s="230" t="s">
        <v>33</v>
      </c>
      <c r="I200" s="45"/>
      <c r="J200" s="250">
        <v>1</v>
      </c>
      <c r="K200" s="46"/>
      <c r="L200" s="46"/>
      <c r="M200" s="46"/>
      <c r="N200" s="46"/>
      <c r="O200" s="46"/>
      <c r="P200" s="46"/>
    </row>
    <row r="201" spans="1:16" ht="18.75" x14ac:dyDescent="0.25">
      <c r="A201" s="148"/>
      <c r="B201" s="149"/>
      <c r="C201" s="149"/>
      <c r="D201" s="149"/>
      <c r="E201" s="159" t="s">
        <v>77</v>
      </c>
      <c r="F201" s="155"/>
      <c r="G201" s="153"/>
      <c r="H201" s="230" t="s">
        <v>33</v>
      </c>
      <c r="I201" s="45"/>
      <c r="J201" s="250">
        <v>0</v>
      </c>
      <c r="K201" s="46"/>
      <c r="L201" s="46"/>
      <c r="M201" s="46"/>
      <c r="N201" s="46"/>
      <c r="O201" s="46"/>
      <c r="P201" s="46"/>
    </row>
    <row r="202" spans="1:16" ht="19.5" x14ac:dyDescent="0.3">
      <c r="A202" s="233"/>
      <c r="B202" s="234"/>
      <c r="C202" s="235" t="s">
        <v>78</v>
      </c>
      <c r="D202" s="236"/>
      <c r="E202" s="236"/>
      <c r="F202" s="236"/>
      <c r="G202" s="237"/>
      <c r="H202" s="245" t="s">
        <v>79</v>
      </c>
      <c r="I202" s="239">
        <f ca="1">I209</f>
        <v>4</v>
      </c>
      <c r="J202" s="239">
        <f>J209</f>
        <v>0</v>
      </c>
      <c r="K202" s="240">
        <f ca="1">IF(I202&gt;0,J202*100/I202,0)</f>
        <v>0</v>
      </c>
      <c r="L202" s="241"/>
      <c r="M202" s="241"/>
      <c r="N202" s="241"/>
      <c r="O202" s="241"/>
      <c r="P202" s="241"/>
    </row>
    <row r="203" spans="1:16" ht="19.5" x14ac:dyDescent="0.3">
      <c r="A203" s="136"/>
      <c r="B203" s="41"/>
      <c r="C203" s="197" t="s">
        <v>16</v>
      </c>
      <c r="D203" s="400" t="s">
        <v>17</v>
      </c>
      <c r="E203" s="41"/>
      <c r="F203" s="41"/>
      <c r="G203" s="43"/>
      <c r="H203" s="243" t="s">
        <v>12</v>
      </c>
      <c r="I203" s="144"/>
      <c r="J203" s="144"/>
      <c r="K203" s="145"/>
      <c r="L203" s="140">
        <f ca="1">L204+L205+L206+L207</f>
        <v>57000</v>
      </c>
      <c r="M203" s="46"/>
      <c r="N203" s="140">
        <f>N204+N205+N206+N207</f>
        <v>0</v>
      </c>
      <c r="O203" s="140">
        <f ca="1">IF(L203&gt;0,N203*100/L203,0)</f>
        <v>0</v>
      </c>
      <c r="P203" s="140">
        <f>IF(M203&gt;0,N203*100/M203,0)</f>
        <v>0</v>
      </c>
    </row>
    <row r="204" spans="1:16" ht="18.75" x14ac:dyDescent="0.25">
      <c r="A204" s="136"/>
      <c r="B204" s="228"/>
      <c r="C204" s="41"/>
      <c r="D204" s="253" t="s">
        <v>153</v>
      </c>
      <c r="E204" s="41"/>
      <c r="F204" s="41"/>
      <c r="G204" s="43"/>
      <c r="H204" s="143" t="s">
        <v>12</v>
      </c>
      <c r="I204" s="144"/>
      <c r="J204" s="144"/>
      <c r="K204" s="145"/>
      <c r="L204" s="47">
        <f ca="1">IFERROR(__xludf.DUMMYFUNCTION("IMPORTRANGE(""https://docs.google.com/spreadsheets/d/1eHaY18a8A9IcSdp1K8H6x8fbOy06t2VsZHhMHf-1x7Y/edit?usp=sharing"",""แผน!AG23"")"),4000)</f>
        <v>4000</v>
      </c>
      <c r="M204" s="46"/>
      <c r="N204" s="248">
        <v>0</v>
      </c>
      <c r="O204" s="145"/>
      <c r="P204" s="46"/>
    </row>
    <row r="205" spans="1:16" ht="18.75" x14ac:dyDescent="0.25">
      <c r="A205" s="227"/>
      <c r="B205" s="228"/>
      <c r="C205" s="41"/>
      <c r="D205" s="254" t="s">
        <v>81</v>
      </c>
      <c r="E205" s="41"/>
      <c r="F205" s="41"/>
      <c r="G205" s="43"/>
      <c r="H205" s="44" t="s">
        <v>12</v>
      </c>
      <c r="I205" s="45"/>
      <c r="J205" s="45"/>
      <c r="K205" s="46"/>
      <c r="L205" s="47">
        <f ca="1">IFERROR(__xludf.DUMMYFUNCTION("IMPORTRANGE(""https://docs.google.com/spreadsheets/d/1eHaY18a8A9IcSdp1K8H6x8fbOy06t2VsZHhMHf-1x7Y/edit?usp=sharing"",""แผน!AH23"")"),0)</f>
        <v>0</v>
      </c>
      <c r="M205" s="46"/>
      <c r="N205" s="248">
        <v>0</v>
      </c>
      <c r="O205" s="145"/>
      <c r="P205" s="46"/>
    </row>
    <row r="206" spans="1:16" ht="18.75" x14ac:dyDescent="0.25">
      <c r="A206" s="227"/>
      <c r="B206" s="228"/>
      <c r="C206" s="41"/>
      <c r="D206" s="254" t="s">
        <v>82</v>
      </c>
      <c r="E206" s="41"/>
      <c r="F206" s="41"/>
      <c r="G206" s="43"/>
      <c r="H206" s="44" t="s">
        <v>12</v>
      </c>
      <c r="I206" s="45"/>
      <c r="J206" s="45"/>
      <c r="K206" s="46"/>
      <c r="L206" s="47">
        <f ca="1">IFERROR(__xludf.DUMMYFUNCTION("IMPORTRANGE(""https://docs.google.com/spreadsheets/d/1eHaY18a8A9IcSdp1K8H6x8fbOy06t2VsZHhMHf-1x7Y/edit?usp=sharing"",""แผน!AI23"")"),32000)</f>
        <v>32000</v>
      </c>
      <c r="M206" s="46"/>
      <c r="N206" s="248">
        <v>0</v>
      </c>
      <c r="O206" s="145"/>
      <c r="P206" s="46"/>
    </row>
    <row r="207" spans="1:16" ht="18.75" x14ac:dyDescent="0.25">
      <c r="A207" s="227"/>
      <c r="B207" s="228"/>
      <c r="C207" s="41"/>
      <c r="D207" s="254" t="s">
        <v>83</v>
      </c>
      <c r="E207" s="41"/>
      <c r="F207" s="41"/>
      <c r="G207" s="43"/>
      <c r="H207" s="44" t="s">
        <v>12</v>
      </c>
      <c r="I207" s="45"/>
      <c r="J207" s="45"/>
      <c r="K207" s="46"/>
      <c r="L207" s="47">
        <f ca="1">IFERROR(__xludf.DUMMYFUNCTION("IMPORTRANGE(""https://docs.google.com/spreadsheets/d/1eHaY18a8A9IcSdp1K8H6x8fbOy06t2VsZHhMHf-1x7Y/edit?usp=sharing"",""แผน!AJ23"")"),21000)</f>
        <v>21000</v>
      </c>
      <c r="M207" s="46"/>
      <c r="N207" s="248">
        <v>0</v>
      </c>
      <c r="O207" s="145"/>
      <c r="P207" s="46"/>
    </row>
    <row r="208" spans="1:16" ht="19.5" x14ac:dyDescent="0.3">
      <c r="A208" s="148"/>
      <c r="B208" s="149"/>
      <c r="C208" s="197" t="s">
        <v>16</v>
      </c>
      <c r="D208" s="395" t="s">
        <v>36</v>
      </c>
      <c r="E208" s="151"/>
      <c r="F208" s="151"/>
      <c r="G208" s="152"/>
      <c r="H208" s="153"/>
      <c r="I208" s="144"/>
      <c r="J208" s="144"/>
      <c r="K208" s="145"/>
      <c r="L208" s="145"/>
      <c r="M208" s="145"/>
      <c r="N208" s="145"/>
      <c r="O208" s="145"/>
      <c r="P208" s="145"/>
    </row>
    <row r="209" spans="1:16" ht="18.75" x14ac:dyDescent="0.25">
      <c r="A209" s="148"/>
      <c r="B209" s="149"/>
      <c r="C209" s="149"/>
      <c r="D209" s="154" t="s">
        <v>84</v>
      </c>
      <c r="E209" s="155"/>
      <c r="F209" s="155"/>
      <c r="G209" s="153"/>
      <c r="H209" s="249" t="s">
        <v>79</v>
      </c>
      <c r="I209" s="169">
        <f ca="1">IFERROR(__xludf.DUMMYFUNCTION("IMPORTRANGE(""https://docs.google.com/spreadsheets/d/1eHaY18a8A9IcSdp1K8H6x8fbOy06t2VsZHhMHf-1x7Y/edit?usp=sharing"",""แผน!AK23"")"),4)</f>
        <v>4</v>
      </c>
      <c r="J209" s="250">
        <v>0</v>
      </c>
      <c r="K209" s="163">
        <f ca="1">IF(I209&gt;0,J209*100/I209,0)</f>
        <v>0</v>
      </c>
      <c r="L209" s="46"/>
      <c r="M209" s="46"/>
      <c r="N209" s="46"/>
      <c r="O209" s="46"/>
      <c r="P209" s="46"/>
    </row>
    <row r="210" spans="1:16" ht="18.75" x14ac:dyDescent="0.25">
      <c r="A210" s="148"/>
      <c r="B210" s="149"/>
      <c r="C210" s="149"/>
      <c r="D210" s="159" t="s">
        <v>48</v>
      </c>
      <c r="E210" s="155"/>
      <c r="F210" s="155"/>
      <c r="G210" s="153"/>
      <c r="H210" s="153"/>
      <c r="I210" s="45"/>
      <c r="J210" s="45"/>
      <c r="K210" s="145"/>
      <c r="L210" s="46"/>
      <c r="M210" s="46"/>
      <c r="N210" s="46"/>
      <c r="O210" s="46"/>
      <c r="P210" s="46"/>
    </row>
    <row r="211" spans="1:16" ht="18.75" x14ac:dyDescent="0.25">
      <c r="A211" s="148"/>
      <c r="B211" s="149"/>
      <c r="C211" s="149"/>
      <c r="D211" s="155"/>
      <c r="E211" s="159" t="s">
        <v>85</v>
      </c>
      <c r="F211" s="155"/>
      <c r="G211" s="153"/>
      <c r="H211" s="249" t="s">
        <v>79</v>
      </c>
      <c r="I211" s="169">
        <f ca="1">IFERROR(__xludf.DUMMYFUNCTION("IMPORTRANGE(""https://docs.google.com/spreadsheets/d/1eHaY18a8A9IcSdp1K8H6x8fbOy06t2VsZHhMHf-1x7Y/edit?usp=sharing"",""แผน!AK23"")"),4)</f>
        <v>4</v>
      </c>
      <c r="J211" s="250">
        <v>0</v>
      </c>
      <c r="K211" s="163">
        <f ca="1">IF(I211&gt;0,J211*100/I211,0)</f>
        <v>0</v>
      </c>
      <c r="L211" s="46"/>
      <c r="M211" s="46"/>
      <c r="N211" s="46"/>
      <c r="O211" s="46"/>
      <c r="P211" s="46"/>
    </row>
    <row r="212" spans="1:16" ht="18.75" x14ac:dyDescent="0.25">
      <c r="A212" s="148"/>
      <c r="B212" s="149"/>
      <c r="C212" s="149"/>
      <c r="D212" s="155"/>
      <c r="E212" s="159" t="s">
        <v>86</v>
      </c>
      <c r="F212" s="155"/>
      <c r="G212" s="155"/>
      <c r="H212" s="251" t="s">
        <v>87</v>
      </c>
      <c r="I212" s="169">
        <f ca="1">IFERROR(__xludf.DUMMYFUNCTION("IMPORTRANGE(""https://docs.google.com/spreadsheets/d/1eHaY18a8A9IcSdp1K8H6x8fbOy06t2VsZHhMHf-1x7Y/edit?usp=sharing"",""แผน!AK23"")"),4)</f>
        <v>4</v>
      </c>
      <c r="J212" s="250">
        <v>0</v>
      </c>
      <c r="K212" s="163">
        <f ca="1">IF(I212&gt;0,J212*100/I212,0)</f>
        <v>0</v>
      </c>
      <c r="L212" s="46"/>
      <c r="M212" s="46"/>
      <c r="N212" s="46"/>
      <c r="O212" s="46"/>
      <c r="P212" s="46"/>
    </row>
    <row r="213" spans="1:16" ht="19.5" x14ac:dyDescent="0.3">
      <c r="A213" s="233"/>
      <c r="B213" s="234"/>
      <c r="C213" s="235" t="s">
        <v>88</v>
      </c>
      <c r="D213" s="236"/>
      <c r="E213" s="236"/>
      <c r="F213" s="236"/>
      <c r="G213" s="237"/>
      <c r="H213" s="245" t="s">
        <v>79</v>
      </c>
      <c r="I213" s="239">
        <f ca="1">I220</f>
        <v>2</v>
      </c>
      <c r="J213" s="239">
        <f>J220</f>
        <v>0</v>
      </c>
      <c r="K213" s="240">
        <f ca="1">IF(I213&gt;0,J213*100/I213,0)</f>
        <v>0</v>
      </c>
      <c r="L213" s="241"/>
      <c r="M213" s="241"/>
      <c r="N213" s="241"/>
      <c r="O213" s="241"/>
      <c r="P213" s="241"/>
    </row>
    <row r="214" spans="1:16" ht="19.5" x14ac:dyDescent="0.3">
      <c r="A214" s="136"/>
      <c r="B214" s="41"/>
      <c r="C214" s="197" t="s">
        <v>16</v>
      </c>
      <c r="D214" s="400" t="s">
        <v>17</v>
      </c>
      <c r="E214" s="41"/>
      <c r="F214" s="41"/>
      <c r="G214" s="43"/>
      <c r="H214" s="243" t="s">
        <v>12</v>
      </c>
      <c r="I214" s="144"/>
      <c r="J214" s="144"/>
      <c r="K214" s="145"/>
      <c r="L214" s="140">
        <f ca="1">L215+L216+L217</f>
        <v>28000</v>
      </c>
      <c r="M214" s="46"/>
      <c r="N214" s="140">
        <f>N215+N216+N217</f>
        <v>0</v>
      </c>
      <c r="O214" s="140">
        <f ca="1">IF(L214&gt;0,N214*100/L214,0)</f>
        <v>0</v>
      </c>
      <c r="P214" s="140">
        <f>IF(M214&gt;0,N214*100/M214,0)</f>
        <v>0</v>
      </c>
    </row>
    <row r="215" spans="1:16" ht="18.75" x14ac:dyDescent="0.25">
      <c r="A215" s="136"/>
      <c r="B215" s="228"/>
      <c r="C215" s="41"/>
      <c r="D215" s="254" t="s">
        <v>80</v>
      </c>
      <c r="E215" s="41"/>
      <c r="F215" s="41"/>
      <c r="G215" s="43"/>
      <c r="H215" s="143" t="s">
        <v>12</v>
      </c>
      <c r="I215" s="144"/>
      <c r="J215" s="144"/>
      <c r="K215" s="145"/>
      <c r="L215" s="47">
        <f ca="1">IFERROR(__xludf.DUMMYFUNCTION("IMPORTRANGE(""https://docs.google.com/spreadsheets/d/1eHaY18a8A9IcSdp1K8H6x8fbOy06t2VsZHhMHf-1x7Y/edit?usp=sharing"",""แผน!AM23"")"),2000)</f>
        <v>2000</v>
      </c>
      <c r="M215" s="46"/>
      <c r="N215" s="248">
        <v>0</v>
      </c>
      <c r="O215" s="145"/>
      <c r="P215" s="46"/>
    </row>
    <row r="216" spans="1:16" ht="18.75" x14ac:dyDescent="0.25">
      <c r="A216" s="227"/>
      <c r="B216" s="228"/>
      <c r="C216" s="228"/>
      <c r="D216" s="254" t="s">
        <v>89</v>
      </c>
      <c r="E216" s="41"/>
      <c r="F216" s="41"/>
      <c r="G216" s="43"/>
      <c r="H216" s="143" t="s">
        <v>12</v>
      </c>
      <c r="I216" s="45"/>
      <c r="J216" s="45"/>
      <c r="K216" s="46"/>
      <c r="L216" s="47">
        <f ca="1">IFERROR(__xludf.DUMMYFUNCTION("IMPORTRANGE(""https://docs.google.com/spreadsheets/d/1eHaY18a8A9IcSdp1K8H6x8fbOy06t2VsZHhMHf-1x7Y/edit?usp=sharing"",""แผน!AN23"")"),10000)</f>
        <v>10000</v>
      </c>
      <c r="M216" s="46"/>
      <c r="N216" s="248">
        <v>0</v>
      </c>
      <c r="O216" s="145"/>
      <c r="P216" s="46"/>
    </row>
    <row r="217" spans="1:16" ht="18.75" x14ac:dyDescent="0.25">
      <c r="A217" s="227"/>
      <c r="B217" s="228"/>
      <c r="C217" s="228"/>
      <c r="D217" s="254" t="s">
        <v>82</v>
      </c>
      <c r="E217" s="41"/>
      <c r="F217" s="41"/>
      <c r="G217" s="43"/>
      <c r="H217" s="143" t="s">
        <v>12</v>
      </c>
      <c r="I217" s="45"/>
      <c r="J217" s="45"/>
      <c r="K217" s="46"/>
      <c r="L217" s="47">
        <f ca="1">IFERROR(__xludf.DUMMYFUNCTION("IMPORTRANGE(""https://docs.google.com/spreadsheets/d/1eHaY18a8A9IcSdp1K8H6x8fbOy06t2VsZHhMHf-1x7Y/edit?usp=sharing"",""แผน!AO23"")"),16000)</f>
        <v>16000</v>
      </c>
      <c r="M217" s="46"/>
      <c r="N217" s="248">
        <v>0</v>
      </c>
      <c r="O217" s="145"/>
      <c r="P217" s="46"/>
    </row>
    <row r="218" spans="1:16" ht="19.5" x14ac:dyDescent="0.3">
      <c r="A218" s="148"/>
      <c r="B218" s="149"/>
      <c r="C218" s="252" t="s">
        <v>16</v>
      </c>
      <c r="D218" s="395" t="s">
        <v>36</v>
      </c>
      <c r="E218" s="151"/>
      <c r="F218" s="151"/>
      <c r="G218" s="152"/>
      <c r="H218" s="153"/>
      <c r="I218" s="144"/>
      <c r="J218" s="45"/>
      <c r="K218" s="46"/>
      <c r="L218" s="46"/>
      <c r="M218" s="46"/>
      <c r="N218" s="46"/>
      <c r="O218" s="145"/>
      <c r="P218" s="145"/>
    </row>
    <row r="219" spans="1:16" ht="18.75" x14ac:dyDescent="0.25">
      <c r="A219" s="148"/>
      <c r="B219" s="149"/>
      <c r="C219" s="149"/>
      <c r="D219" s="154" t="s">
        <v>90</v>
      </c>
      <c r="E219" s="155"/>
      <c r="F219" s="155"/>
      <c r="G219" s="153"/>
      <c r="H219" s="249" t="s">
        <v>79</v>
      </c>
      <c r="I219" s="169">
        <f ca="1">IFERROR(__xludf.DUMMYFUNCTION("IMPORTRANGE(""https://docs.google.com/spreadsheets/d/1eHaY18a8A9IcSdp1K8H6x8fbOy06t2VsZHhMHf-1x7Y/edit?usp=sharing"",""แผน!AP23"")"),2)</f>
        <v>2</v>
      </c>
      <c r="J219" s="250">
        <v>0</v>
      </c>
      <c r="K219" s="47">
        <f ca="1">IF(I219&gt;0,J219*100/I219,0)</f>
        <v>0</v>
      </c>
      <c r="L219" s="46"/>
      <c r="M219" s="46"/>
      <c r="N219" s="46"/>
      <c r="O219" s="46"/>
      <c r="P219" s="46"/>
    </row>
    <row r="220" spans="1:16" ht="18.75" x14ac:dyDescent="0.25">
      <c r="A220" s="148"/>
      <c r="B220" s="149"/>
      <c r="C220" s="149"/>
      <c r="D220" s="154" t="s">
        <v>91</v>
      </c>
      <c r="E220" s="155"/>
      <c r="F220" s="155"/>
      <c r="G220" s="153"/>
      <c r="H220" s="249" t="s">
        <v>79</v>
      </c>
      <c r="I220" s="169">
        <f ca="1">IFERROR(__xludf.DUMMYFUNCTION("IMPORTRANGE(""https://docs.google.com/spreadsheets/d/1eHaY18a8A9IcSdp1K8H6x8fbOy06t2VsZHhMHf-1x7Y/edit?usp=sharing"",""แผน!AP23"")"),2)</f>
        <v>2</v>
      </c>
      <c r="J220" s="250">
        <v>0</v>
      </c>
      <c r="K220" s="47">
        <f ca="1">IF(I220&gt;0,J220*100/I220,0)</f>
        <v>0</v>
      </c>
      <c r="L220" s="46"/>
      <c r="M220" s="46"/>
      <c r="N220" s="46"/>
      <c r="O220" s="46"/>
      <c r="P220" s="46"/>
    </row>
    <row r="221" spans="1:16" ht="19.5" x14ac:dyDescent="0.3">
      <c r="A221" s="233"/>
      <c r="B221" s="234"/>
      <c r="C221" s="235" t="s">
        <v>92</v>
      </c>
      <c r="D221" s="236"/>
      <c r="E221" s="236"/>
      <c r="F221" s="236"/>
      <c r="G221" s="237"/>
      <c r="H221" s="238" t="s">
        <v>93</v>
      </c>
      <c r="I221" s="239">
        <f ca="1">I229</f>
        <v>128000</v>
      </c>
      <c r="J221" s="239">
        <f>J229</f>
        <v>0</v>
      </c>
      <c r="K221" s="240">
        <f ca="1">IF(I221&gt;0,J221*100/I221,0)</f>
        <v>0</v>
      </c>
      <c r="L221" s="241"/>
      <c r="M221" s="241"/>
      <c r="N221" s="241"/>
      <c r="O221" s="241"/>
      <c r="P221" s="241"/>
    </row>
    <row r="222" spans="1:16" ht="19.5" x14ac:dyDescent="0.3">
      <c r="A222" s="136"/>
      <c r="B222" s="41"/>
      <c r="C222" s="197" t="s">
        <v>16</v>
      </c>
      <c r="D222" s="400" t="s">
        <v>17</v>
      </c>
      <c r="E222" s="41"/>
      <c r="F222" s="41"/>
      <c r="G222" s="43"/>
      <c r="H222" s="243" t="s">
        <v>12</v>
      </c>
      <c r="I222" s="144"/>
      <c r="J222" s="144"/>
      <c r="K222" s="145"/>
      <c r="L222" s="140">
        <f ca="1">L223+L224+L225</f>
        <v>16500</v>
      </c>
      <c r="M222" s="46"/>
      <c r="N222" s="140">
        <f>N223+N224+N225</f>
        <v>0</v>
      </c>
      <c r="O222" s="140">
        <f ca="1">IF(L222&gt;0,N222*100/L222,0)</f>
        <v>0</v>
      </c>
      <c r="P222" s="140">
        <f>IF(M222&gt;0,N222*100/M222,0)</f>
        <v>0</v>
      </c>
    </row>
    <row r="223" spans="1:16" ht="18.75" x14ac:dyDescent="0.25">
      <c r="A223" s="136"/>
      <c r="B223" s="228"/>
      <c r="C223" s="41"/>
      <c r="D223" s="253" t="s">
        <v>94</v>
      </c>
      <c r="E223" s="41"/>
      <c r="F223" s="41"/>
      <c r="G223" s="43"/>
      <c r="H223" s="143" t="s">
        <v>12</v>
      </c>
      <c r="I223" s="144"/>
      <c r="J223" s="144"/>
      <c r="K223" s="145"/>
      <c r="L223" s="47">
        <f ca="1">IFERROR(__xludf.DUMMYFUNCTION("IMPORTRANGE(""https://docs.google.com/spreadsheets/d/1eHaY18a8A9IcSdp1K8H6x8fbOy06t2VsZHhMHf-1x7Y/edit?usp=sharing"",""แผน!AR23"")"),15000)</f>
        <v>15000</v>
      </c>
      <c r="M223" s="46"/>
      <c r="N223" s="248">
        <v>0</v>
      </c>
      <c r="O223" s="145"/>
      <c r="P223" s="46"/>
    </row>
    <row r="224" spans="1:16" ht="18.75" x14ac:dyDescent="0.25">
      <c r="A224" s="227"/>
      <c r="B224" s="228"/>
      <c r="C224" s="228"/>
      <c r="D224" s="254" t="s">
        <v>95</v>
      </c>
      <c r="E224" s="41"/>
      <c r="F224" s="41"/>
      <c r="G224" s="43"/>
      <c r="H224" s="143" t="s">
        <v>12</v>
      </c>
      <c r="I224" s="45"/>
      <c r="J224" s="45"/>
      <c r="K224" s="46"/>
      <c r="L224" s="47">
        <f ca="1">IFERROR(__xludf.DUMMYFUNCTION("IMPORTRANGE(""https://docs.google.com/spreadsheets/d/1eHaY18a8A9IcSdp1K8H6x8fbOy06t2VsZHhMHf-1x7Y/edit?usp=sharing"",""แผน!AS23"")"),1500)</f>
        <v>1500</v>
      </c>
      <c r="M224" s="46"/>
      <c r="N224" s="248">
        <v>0</v>
      </c>
      <c r="O224" s="145"/>
      <c r="P224" s="46"/>
    </row>
    <row r="225" spans="1:16" ht="18.75" x14ac:dyDescent="0.25">
      <c r="A225" s="227"/>
      <c r="B225" s="228"/>
      <c r="C225" s="228"/>
      <c r="D225" s="254" t="s">
        <v>82</v>
      </c>
      <c r="E225" s="41"/>
      <c r="F225" s="41"/>
      <c r="G225" s="43"/>
      <c r="H225" s="143" t="s">
        <v>12</v>
      </c>
      <c r="I225" s="45"/>
      <c r="J225" s="45"/>
      <c r="K225" s="46"/>
      <c r="L225" s="47">
        <f ca="1">IFERROR(__xludf.DUMMYFUNCTION("IMPORTRANGE(""https://docs.google.com/spreadsheets/d/1eHaY18a8A9IcSdp1K8H6x8fbOy06t2VsZHhMHf-1x7Y/edit?usp=sharing"",""แผน!AT23"")"),0)</f>
        <v>0</v>
      </c>
      <c r="M225" s="46"/>
      <c r="N225" s="248">
        <v>0</v>
      </c>
      <c r="O225" s="145"/>
      <c r="P225" s="46"/>
    </row>
    <row r="226" spans="1:16" ht="19.5" x14ac:dyDescent="0.3">
      <c r="A226" s="148"/>
      <c r="B226" s="149"/>
      <c r="C226" s="252" t="s">
        <v>16</v>
      </c>
      <c r="D226" s="395" t="s">
        <v>36</v>
      </c>
      <c r="E226" s="151"/>
      <c r="F226" s="151"/>
      <c r="G226" s="152"/>
      <c r="H226" s="153"/>
      <c r="I226" s="144"/>
      <c r="J226" s="144"/>
      <c r="K226" s="145"/>
      <c r="L226" s="145"/>
      <c r="M226" s="145"/>
      <c r="N226" s="145"/>
      <c r="O226" s="145"/>
      <c r="P226" s="145"/>
    </row>
    <row r="227" spans="1:16" ht="18.75" x14ac:dyDescent="0.25">
      <c r="A227" s="148"/>
      <c r="B227" s="149"/>
      <c r="C227" s="149"/>
      <c r="D227" s="254" t="s">
        <v>96</v>
      </c>
      <c r="E227" s="155"/>
      <c r="F227" s="155"/>
      <c r="G227" s="153"/>
      <c r="H227" s="153"/>
      <c r="I227" s="45"/>
      <c r="J227" s="45"/>
      <c r="K227" s="145"/>
      <c r="L227" s="145"/>
      <c r="M227" s="145"/>
      <c r="N227" s="145"/>
      <c r="O227" s="145"/>
      <c r="P227" s="145"/>
    </row>
    <row r="228" spans="1:16" ht="18.75" x14ac:dyDescent="0.25">
      <c r="A228" s="148"/>
      <c r="B228" s="149"/>
      <c r="C228" s="149"/>
      <c r="D228" s="149"/>
      <c r="E228" s="154" t="s">
        <v>97</v>
      </c>
      <c r="F228" s="155"/>
      <c r="G228" s="153"/>
      <c r="H228" s="251" t="s">
        <v>93</v>
      </c>
      <c r="I228" s="169">
        <f ca="1">IFERROR(__xludf.DUMMYFUNCTION("IMPORTRANGE(""https://docs.google.com/spreadsheets/d/1eHaY18a8A9IcSdp1K8H6x8fbOy06t2VsZHhMHf-1x7Y/edit?usp=sharing"",""แผน!AV23"")"),128000)</f>
        <v>128000</v>
      </c>
      <c r="J228" s="250">
        <v>0</v>
      </c>
      <c r="K228" s="163">
        <f ca="1">IF(I228&gt;0,J228*100/I228,0)</f>
        <v>0</v>
      </c>
      <c r="L228" s="145"/>
      <c r="M228" s="145"/>
      <c r="N228" s="145"/>
      <c r="O228" s="145"/>
      <c r="P228" s="145"/>
    </row>
    <row r="229" spans="1:16" ht="18.75" x14ac:dyDescent="0.25">
      <c r="A229" s="148"/>
      <c r="B229" s="149"/>
      <c r="C229" s="149"/>
      <c r="D229" s="149"/>
      <c r="E229" s="154" t="s">
        <v>98</v>
      </c>
      <c r="F229" s="155"/>
      <c r="G229" s="153"/>
      <c r="H229" s="251" t="s">
        <v>93</v>
      </c>
      <c r="I229" s="169">
        <f ca="1">IFERROR(__xludf.DUMMYFUNCTION("IMPORTRANGE(""https://docs.google.com/spreadsheets/d/1eHaY18a8A9IcSdp1K8H6x8fbOy06t2VsZHhMHf-1x7Y/edit?usp=sharing"",""แผน!AV23"")"),128000)</f>
        <v>128000</v>
      </c>
      <c r="J229" s="250">
        <v>0</v>
      </c>
      <c r="K229" s="163">
        <f ca="1">IF(I229&gt;0,J229*100/I229,0)</f>
        <v>0</v>
      </c>
      <c r="L229" s="46"/>
      <c r="M229" s="46"/>
      <c r="N229" s="46"/>
      <c r="O229" s="46"/>
      <c r="P229" s="46"/>
    </row>
    <row r="230" spans="1:16" ht="18.75" x14ac:dyDescent="0.25">
      <c r="A230" s="148"/>
      <c r="B230" s="149"/>
      <c r="C230" s="149"/>
      <c r="D230" s="254" t="s">
        <v>99</v>
      </c>
      <c r="E230" s="155"/>
      <c r="F230" s="155"/>
      <c r="G230" s="153"/>
      <c r="H230" s="251" t="s">
        <v>33</v>
      </c>
      <c r="I230" s="169">
        <f ca="1">IFERROR(__xludf.DUMMYFUNCTION("IMPORTRANGE(""https://docs.google.com/spreadsheets/d/1eHaY18a8A9IcSdp1K8H6x8fbOy06t2VsZHhMHf-1x7Y/edit?usp=sharing"",""แผน!AU23"")"),0)</f>
        <v>0</v>
      </c>
      <c r="J230" s="250">
        <v>0</v>
      </c>
      <c r="K230" s="163">
        <f ca="1">IF(I230&gt;0,J230*100/I230,0)</f>
        <v>0</v>
      </c>
      <c r="L230" s="46"/>
      <c r="M230" s="46"/>
      <c r="N230" s="46"/>
      <c r="O230" s="46"/>
      <c r="P230" s="46"/>
    </row>
    <row r="231" spans="1:16" ht="19.5" hidden="1" x14ac:dyDescent="0.3">
      <c r="A231" s="233"/>
      <c r="B231" s="234"/>
      <c r="C231" s="235" t="s">
        <v>100</v>
      </c>
      <c r="D231" s="236"/>
      <c r="E231" s="236"/>
      <c r="F231" s="236"/>
      <c r="G231" s="237"/>
      <c r="H231" s="238" t="s">
        <v>33</v>
      </c>
      <c r="I231" s="239">
        <f ca="1">I242+I253</f>
        <v>0</v>
      </c>
      <c r="J231" s="239">
        <f>J242+J253</f>
        <v>0</v>
      </c>
      <c r="K231" s="240">
        <f ca="1">IF(I231&gt;0,J231*100/I231,0)</f>
        <v>0</v>
      </c>
      <c r="L231" s="241"/>
      <c r="M231" s="241"/>
      <c r="N231" s="241"/>
      <c r="O231" s="241"/>
      <c r="P231" s="241"/>
    </row>
    <row r="232" spans="1:16" ht="19.5" hidden="1" x14ac:dyDescent="0.3">
      <c r="A232" s="136"/>
      <c r="B232" s="41"/>
      <c r="C232" s="197" t="s">
        <v>16</v>
      </c>
      <c r="D232" s="397" t="s">
        <v>17</v>
      </c>
      <c r="E232" s="41"/>
      <c r="F232" s="41"/>
      <c r="G232" s="43"/>
      <c r="H232" s="243" t="s">
        <v>12</v>
      </c>
      <c r="I232" s="144"/>
      <c r="J232" s="144"/>
      <c r="K232" s="145"/>
      <c r="L232" s="140">
        <f ca="1">L243+L254</f>
        <v>0</v>
      </c>
      <c r="M232" s="46"/>
      <c r="N232" s="140">
        <f>N243+N254</f>
        <v>0</v>
      </c>
      <c r="O232" s="46"/>
      <c r="P232" s="46"/>
    </row>
    <row r="233" spans="1:16" ht="18.75" hidden="1" x14ac:dyDescent="0.25">
      <c r="A233" s="136"/>
      <c r="B233" s="228"/>
      <c r="C233" s="41"/>
      <c r="D233" s="254" t="s">
        <v>80</v>
      </c>
      <c r="E233" s="41"/>
      <c r="F233" s="41"/>
      <c r="G233" s="43"/>
      <c r="H233" s="143" t="s">
        <v>12</v>
      </c>
      <c r="I233" s="144"/>
      <c r="J233" s="144"/>
      <c r="K233" s="145"/>
      <c r="L233" s="47">
        <f ca="1">L244+L255</f>
        <v>0</v>
      </c>
      <c r="M233" s="46"/>
      <c r="N233" s="47">
        <f>N244+N255</f>
        <v>0</v>
      </c>
      <c r="O233" s="46"/>
      <c r="P233" s="46"/>
    </row>
    <row r="234" spans="1:16" ht="18.75" hidden="1" x14ac:dyDescent="0.25">
      <c r="A234" s="227"/>
      <c r="B234" s="228"/>
      <c r="C234" s="228"/>
      <c r="D234" s="254" t="s">
        <v>82</v>
      </c>
      <c r="E234" s="41"/>
      <c r="F234" s="41"/>
      <c r="G234" s="43"/>
      <c r="H234" s="143" t="s">
        <v>12</v>
      </c>
      <c r="I234" s="45"/>
      <c r="J234" s="45"/>
      <c r="K234" s="46"/>
      <c r="L234" s="47">
        <f ca="1">L245+L256</f>
        <v>0</v>
      </c>
      <c r="M234" s="46"/>
      <c r="N234" s="47">
        <f>N245+N256</f>
        <v>0</v>
      </c>
      <c r="O234" s="46"/>
      <c r="P234" s="46"/>
    </row>
    <row r="235" spans="1:16" ht="18.75" hidden="1" x14ac:dyDescent="0.25">
      <c r="A235" s="227"/>
      <c r="B235" s="228"/>
      <c r="C235" s="228"/>
      <c r="D235" s="254" t="s">
        <v>101</v>
      </c>
      <c r="E235" s="41"/>
      <c r="F235" s="41"/>
      <c r="G235" s="43"/>
      <c r="H235" s="143" t="s">
        <v>12</v>
      </c>
      <c r="I235" s="45"/>
      <c r="J235" s="45"/>
      <c r="K235" s="46"/>
      <c r="L235" s="47">
        <f ca="1">L246+L257</f>
        <v>0</v>
      </c>
      <c r="M235" s="46"/>
      <c r="N235" s="47">
        <f>N246+N257</f>
        <v>0</v>
      </c>
      <c r="O235" s="46"/>
      <c r="P235" s="46"/>
    </row>
    <row r="236" spans="1:16" ht="18.75" hidden="1" x14ac:dyDescent="0.25">
      <c r="A236" s="227"/>
      <c r="B236" s="228"/>
      <c r="C236" s="228"/>
      <c r="D236" s="254" t="s">
        <v>102</v>
      </c>
      <c r="E236" s="41"/>
      <c r="F236" s="41"/>
      <c r="G236" s="43"/>
      <c r="H236" s="143" t="s">
        <v>12</v>
      </c>
      <c r="I236" s="45"/>
      <c r="J236" s="45"/>
      <c r="K236" s="46"/>
      <c r="L236" s="47">
        <f ca="1">L247+L258</f>
        <v>0</v>
      </c>
      <c r="M236" s="46"/>
      <c r="N236" s="47">
        <f>N247+N258</f>
        <v>0</v>
      </c>
      <c r="O236" s="46"/>
      <c r="P236" s="46"/>
    </row>
    <row r="237" spans="1:16" ht="19.5" hidden="1" x14ac:dyDescent="0.3">
      <c r="A237" s="148"/>
      <c r="B237" s="149"/>
      <c r="C237" s="252" t="s">
        <v>16</v>
      </c>
      <c r="D237" s="395" t="s">
        <v>36</v>
      </c>
      <c r="E237" s="151"/>
      <c r="F237" s="151"/>
      <c r="G237" s="152"/>
      <c r="H237" s="153"/>
      <c r="I237" s="144"/>
      <c r="J237" s="45"/>
      <c r="K237" s="46"/>
      <c r="L237" s="46"/>
      <c r="M237" s="46"/>
      <c r="N237" s="46"/>
      <c r="O237" s="145"/>
      <c r="P237" s="145"/>
    </row>
    <row r="238" spans="1:16" ht="18.75" hidden="1" x14ac:dyDescent="0.25">
      <c r="A238" s="148"/>
      <c r="B238" s="149"/>
      <c r="C238" s="149"/>
      <c r="D238" s="159" t="s">
        <v>103</v>
      </c>
      <c r="E238" s="155"/>
      <c r="F238" s="155"/>
      <c r="G238" s="153"/>
      <c r="H238" s="251" t="s">
        <v>33</v>
      </c>
      <c r="I238" s="169">
        <f ca="1">I249+I260</f>
        <v>0</v>
      </c>
      <c r="J238" s="169">
        <f>J249+J260</f>
        <v>0</v>
      </c>
      <c r="K238" s="47">
        <f ca="1">IF(I238&gt;0,J238*100/I238,0)</f>
        <v>0</v>
      </c>
      <c r="L238" s="46"/>
      <c r="M238" s="46"/>
      <c r="N238" s="46"/>
      <c r="O238" s="46"/>
      <c r="P238" s="46"/>
    </row>
    <row r="239" spans="1:16" ht="18.75" hidden="1" x14ac:dyDescent="0.25">
      <c r="A239" s="148"/>
      <c r="B239" s="149"/>
      <c r="C239" s="149"/>
      <c r="D239" s="255" t="s">
        <v>41</v>
      </c>
      <c r="E239" s="155"/>
      <c r="F239" s="155"/>
      <c r="G239" s="153"/>
      <c r="H239" s="153"/>
      <c r="I239" s="45"/>
      <c r="J239" s="45"/>
      <c r="K239" s="46"/>
      <c r="L239" s="46"/>
      <c r="M239" s="46"/>
      <c r="N239" s="46"/>
      <c r="O239" s="145"/>
      <c r="P239" s="145"/>
    </row>
    <row r="240" spans="1:16" ht="18.75" hidden="1" x14ac:dyDescent="0.25">
      <c r="A240" s="148"/>
      <c r="B240" s="149"/>
      <c r="C240" s="149"/>
      <c r="D240" s="149"/>
      <c r="E240" s="154" t="s">
        <v>104</v>
      </c>
      <c r="F240" s="155"/>
      <c r="G240" s="153"/>
      <c r="H240" s="251" t="s">
        <v>33</v>
      </c>
      <c r="I240" s="169">
        <f>I251+I262</f>
        <v>0</v>
      </c>
      <c r="J240" s="169">
        <f>J251+J262</f>
        <v>0</v>
      </c>
      <c r="K240" s="47">
        <f>IF(I240&gt;0,J240*100/I240,0)</f>
        <v>0</v>
      </c>
      <c r="L240" s="46"/>
      <c r="M240" s="46"/>
      <c r="N240" s="46"/>
      <c r="O240" s="46"/>
      <c r="P240" s="46"/>
    </row>
    <row r="241" spans="1:16" ht="18.75" hidden="1" x14ac:dyDescent="0.25">
      <c r="A241" s="148"/>
      <c r="B241" s="149"/>
      <c r="C241" s="149"/>
      <c r="D241" s="149"/>
      <c r="E241" s="154" t="s">
        <v>105</v>
      </c>
      <c r="F241" s="155"/>
      <c r="G241" s="153"/>
      <c r="H241" s="251" t="s">
        <v>54</v>
      </c>
      <c r="I241" s="169">
        <f>I252+I263</f>
        <v>0</v>
      </c>
      <c r="J241" s="169">
        <f>J252+J263</f>
        <v>0</v>
      </c>
      <c r="K241" s="47">
        <f>IF(I241&gt;0,J241*100/I241,0)</f>
        <v>0</v>
      </c>
      <c r="L241" s="46"/>
      <c r="M241" s="46"/>
      <c r="N241" s="46"/>
      <c r="O241" s="46"/>
      <c r="P241" s="46"/>
    </row>
    <row r="242" spans="1:16" ht="19.5" hidden="1" x14ac:dyDescent="0.3">
      <c r="A242" s="233"/>
      <c r="B242" s="234"/>
      <c r="C242" s="256" t="s">
        <v>106</v>
      </c>
      <c r="D242" s="236"/>
      <c r="E242" s="236"/>
      <c r="F242" s="236"/>
      <c r="G242" s="237"/>
      <c r="H242" s="257" t="s">
        <v>33</v>
      </c>
      <c r="I242" s="258">
        <f ca="1">I249</f>
        <v>0</v>
      </c>
      <c r="J242" s="258">
        <f>J249</f>
        <v>0</v>
      </c>
      <c r="K242" s="259">
        <f ca="1">IF(I242&gt;0,J242*100/I242,0)</f>
        <v>0</v>
      </c>
      <c r="L242" s="241"/>
      <c r="M242" s="241"/>
      <c r="N242" s="241"/>
      <c r="O242" s="241"/>
      <c r="P242" s="241"/>
    </row>
    <row r="243" spans="1:16" ht="19.5" hidden="1" x14ac:dyDescent="0.3">
      <c r="A243" s="136"/>
      <c r="B243" s="41"/>
      <c r="C243" s="260" t="s">
        <v>16</v>
      </c>
      <c r="D243" s="261" t="s">
        <v>17</v>
      </c>
      <c r="E243" s="41"/>
      <c r="F243" s="41"/>
      <c r="G243" s="43"/>
      <c r="H243" s="262" t="s">
        <v>12</v>
      </c>
      <c r="I243" s="144"/>
      <c r="J243" s="144"/>
      <c r="K243" s="145"/>
      <c r="L243" s="263">
        <f ca="1">L244+L245+L246+L247</f>
        <v>0</v>
      </c>
      <c r="M243" s="46"/>
      <c r="N243" s="263">
        <f>N244+N245+N246+N247</f>
        <v>0</v>
      </c>
      <c r="O243" s="263">
        <f ca="1">IF(L243&gt;0,N243*100/L243,0)</f>
        <v>0</v>
      </c>
      <c r="P243" s="263">
        <f>IF(M243&gt;0,N243*100/M243,0)</f>
        <v>0</v>
      </c>
    </row>
    <row r="244" spans="1:16" ht="18.75" hidden="1" x14ac:dyDescent="0.25">
      <c r="A244" s="136"/>
      <c r="B244" s="228"/>
      <c r="C244" s="41"/>
      <c r="D244" s="279" t="s">
        <v>80</v>
      </c>
      <c r="E244" s="41"/>
      <c r="F244" s="41"/>
      <c r="G244" s="43"/>
      <c r="H244" s="146" t="s">
        <v>12</v>
      </c>
      <c r="I244" s="144"/>
      <c r="J244" s="144"/>
      <c r="K244" s="145"/>
      <c r="L244" s="50">
        <f ca="1">IFERROR(__xludf.DUMMYFUNCTION("IMPORTRANGE(""https://docs.google.com/spreadsheets/d/1eHaY18a8A9IcSdp1K8H6x8fbOy06t2VsZHhMHf-1x7Y/edit?usp=sharing"",""แผน!AX23"")"),0)</f>
        <v>0</v>
      </c>
      <c r="M244" s="46"/>
      <c r="N244" s="264">
        <v>0</v>
      </c>
      <c r="O244" s="46"/>
      <c r="P244" s="46"/>
    </row>
    <row r="245" spans="1:16" ht="18.75" hidden="1" x14ac:dyDescent="0.25">
      <c r="A245" s="227"/>
      <c r="B245" s="228"/>
      <c r="C245" s="228"/>
      <c r="D245" s="279" t="s">
        <v>82</v>
      </c>
      <c r="E245" s="41"/>
      <c r="F245" s="41"/>
      <c r="G245" s="43"/>
      <c r="H245" s="146" t="s">
        <v>12</v>
      </c>
      <c r="I245" s="45"/>
      <c r="J245" s="45"/>
      <c r="K245" s="46"/>
      <c r="L245" s="50">
        <f ca="1">IFERROR(__xludf.DUMMYFUNCTION("IMPORTRANGE(""https://docs.google.com/spreadsheets/d/1eHaY18a8A9IcSdp1K8H6x8fbOy06t2VsZHhMHf-1x7Y/edit?usp=sharing"",""แผน!AY23"")"),0)</f>
        <v>0</v>
      </c>
      <c r="M245" s="46"/>
      <c r="N245" s="264">
        <v>0</v>
      </c>
      <c r="O245" s="46"/>
      <c r="P245" s="46"/>
    </row>
    <row r="246" spans="1:16" ht="18.75" hidden="1" x14ac:dyDescent="0.25">
      <c r="A246" s="227"/>
      <c r="B246" s="228"/>
      <c r="C246" s="228"/>
      <c r="D246" s="279" t="s">
        <v>101</v>
      </c>
      <c r="E246" s="41"/>
      <c r="F246" s="41"/>
      <c r="G246" s="43"/>
      <c r="H246" s="146" t="s">
        <v>12</v>
      </c>
      <c r="I246" s="45"/>
      <c r="J246" s="45"/>
      <c r="K246" s="46"/>
      <c r="L246" s="50">
        <f ca="1">IFERROR(__xludf.DUMMYFUNCTION("IMPORTRANGE(""https://docs.google.com/spreadsheets/d/1eHaY18a8A9IcSdp1K8H6x8fbOy06t2VsZHhMHf-1x7Y/edit?usp=sharing"",""แผน!AZ23"")"),0)</f>
        <v>0</v>
      </c>
      <c r="M246" s="46"/>
      <c r="N246" s="264">
        <v>0</v>
      </c>
      <c r="O246" s="46"/>
      <c r="P246" s="46"/>
    </row>
    <row r="247" spans="1:16" ht="18.75" hidden="1" x14ac:dyDescent="0.25">
      <c r="A247" s="227"/>
      <c r="B247" s="228"/>
      <c r="C247" s="228"/>
      <c r="D247" s="279" t="s">
        <v>102</v>
      </c>
      <c r="E247" s="41"/>
      <c r="F247" s="41"/>
      <c r="G247" s="43"/>
      <c r="H247" s="146" t="s">
        <v>12</v>
      </c>
      <c r="I247" s="45"/>
      <c r="J247" s="45"/>
      <c r="K247" s="46"/>
      <c r="L247" s="50">
        <f ca="1">IFERROR(__xludf.DUMMYFUNCTION("IMPORTRANGE(""https://docs.google.com/spreadsheets/d/1eHaY18a8A9IcSdp1K8H6x8fbOy06t2VsZHhMHf-1x7Y/edit?usp=sharing"",""แผน!BA23"")"),0)</f>
        <v>0</v>
      </c>
      <c r="M247" s="46"/>
      <c r="N247" s="264">
        <v>0</v>
      </c>
      <c r="O247" s="46"/>
      <c r="P247" s="46"/>
    </row>
    <row r="248" spans="1:16" ht="19.5" hidden="1" x14ac:dyDescent="0.3">
      <c r="A248" s="148"/>
      <c r="B248" s="149"/>
      <c r="C248" s="265" t="s">
        <v>16</v>
      </c>
      <c r="D248" s="394" t="s">
        <v>36</v>
      </c>
      <c r="E248" s="151"/>
      <c r="F248" s="151"/>
      <c r="G248" s="152"/>
      <c r="H248" s="153"/>
      <c r="I248" s="144"/>
      <c r="J248" s="45"/>
      <c r="K248" s="46"/>
      <c r="L248" s="46"/>
      <c r="M248" s="46"/>
      <c r="N248" s="46"/>
      <c r="O248" s="145"/>
      <c r="P248" s="145"/>
    </row>
    <row r="249" spans="1:16" ht="18.75" hidden="1" x14ac:dyDescent="0.25">
      <c r="A249" s="148"/>
      <c r="B249" s="149"/>
      <c r="C249" s="149"/>
      <c r="D249" s="267" t="s">
        <v>103</v>
      </c>
      <c r="E249" s="155"/>
      <c r="F249" s="155"/>
      <c r="G249" s="153"/>
      <c r="H249" s="268" t="s">
        <v>33</v>
      </c>
      <c r="I249" s="200">
        <f ca="1">IFERROR(__xludf.DUMMYFUNCTION("IMPORTRANGE(""https://docs.google.com/spreadsheets/d/1eHaY18a8A9IcSdp1K8H6x8fbOy06t2VsZHhMHf-1x7Y/edit?usp=sharing"",""แผน!BG23"")"),0)</f>
        <v>0</v>
      </c>
      <c r="J249" s="201">
        <v>0</v>
      </c>
      <c r="K249" s="50">
        <f ca="1">IF(I249&gt;0,J249*100/I249,0)</f>
        <v>0</v>
      </c>
      <c r="L249" s="46"/>
      <c r="M249" s="46"/>
      <c r="N249" s="46"/>
      <c r="O249" s="46"/>
      <c r="P249" s="46"/>
    </row>
    <row r="250" spans="1:16" ht="18.75" hidden="1" x14ac:dyDescent="0.25">
      <c r="A250" s="148"/>
      <c r="B250" s="149"/>
      <c r="C250" s="149"/>
      <c r="D250" s="269" t="s">
        <v>41</v>
      </c>
      <c r="E250" s="155"/>
      <c r="F250" s="155"/>
      <c r="G250" s="153"/>
      <c r="H250" s="153"/>
      <c r="I250" s="45"/>
      <c r="J250" s="45"/>
      <c r="K250" s="46"/>
      <c r="L250" s="46"/>
      <c r="M250" s="46"/>
      <c r="N250" s="46"/>
      <c r="O250" s="145"/>
      <c r="P250" s="145"/>
    </row>
    <row r="251" spans="1:16" ht="18.75" hidden="1" x14ac:dyDescent="0.25">
      <c r="A251" s="148"/>
      <c r="B251" s="149"/>
      <c r="C251" s="149"/>
      <c r="D251" s="149"/>
      <c r="E251" s="270" t="s">
        <v>104</v>
      </c>
      <c r="F251" s="155"/>
      <c r="G251" s="153"/>
      <c r="H251" s="268" t="s">
        <v>33</v>
      </c>
      <c r="I251" s="200">
        <v>0</v>
      </c>
      <c r="J251" s="201">
        <v>0</v>
      </c>
      <c r="K251" s="50">
        <f>IF(I251&gt;0,J251*100/I251,0)</f>
        <v>0</v>
      </c>
      <c r="L251" s="46"/>
      <c r="M251" s="46"/>
      <c r="N251" s="46"/>
      <c r="O251" s="46"/>
      <c r="P251" s="46"/>
    </row>
    <row r="252" spans="1:16" ht="18.75" hidden="1" x14ac:dyDescent="0.25">
      <c r="A252" s="148"/>
      <c r="B252" s="149"/>
      <c r="C252" s="149"/>
      <c r="D252" s="149"/>
      <c r="E252" s="270" t="s">
        <v>105</v>
      </c>
      <c r="F252" s="155"/>
      <c r="G252" s="153"/>
      <c r="H252" s="268" t="s">
        <v>54</v>
      </c>
      <c r="I252" s="200">
        <v>0</v>
      </c>
      <c r="J252" s="201">
        <v>0</v>
      </c>
      <c r="K252" s="50">
        <f>IF(I252&gt;0,J252*100/I252,0)</f>
        <v>0</v>
      </c>
      <c r="L252" s="46"/>
      <c r="M252" s="46"/>
      <c r="N252" s="46"/>
      <c r="O252" s="46"/>
      <c r="P252" s="46"/>
    </row>
    <row r="253" spans="1:16" ht="19.5" hidden="1" x14ac:dyDescent="0.3">
      <c r="A253" s="233"/>
      <c r="B253" s="234"/>
      <c r="C253" s="256" t="s">
        <v>107</v>
      </c>
      <c r="D253" s="236"/>
      <c r="E253" s="236"/>
      <c r="F253" s="236"/>
      <c r="G253" s="237"/>
      <c r="H253" s="257" t="s">
        <v>33</v>
      </c>
      <c r="I253" s="258">
        <f ca="1">I260</f>
        <v>0</v>
      </c>
      <c r="J253" s="258">
        <f>J260</f>
        <v>0</v>
      </c>
      <c r="K253" s="259">
        <f ca="1">IF(I253&gt;0,J253*100/I253,0)</f>
        <v>0</v>
      </c>
      <c r="L253" s="241"/>
      <c r="M253" s="241"/>
      <c r="N253" s="241"/>
      <c r="O253" s="241"/>
      <c r="P253" s="241"/>
    </row>
    <row r="254" spans="1:16" ht="19.5" hidden="1" x14ac:dyDescent="0.3">
      <c r="A254" s="136"/>
      <c r="B254" s="41"/>
      <c r="C254" s="260" t="s">
        <v>16</v>
      </c>
      <c r="D254" s="399" t="s">
        <v>17</v>
      </c>
      <c r="E254" s="41"/>
      <c r="F254" s="41"/>
      <c r="G254" s="43"/>
      <c r="H254" s="262" t="s">
        <v>12</v>
      </c>
      <c r="I254" s="144"/>
      <c r="J254" s="144"/>
      <c r="K254" s="145"/>
      <c r="L254" s="263">
        <f ca="1">L255+L256+L257+L258</f>
        <v>0</v>
      </c>
      <c r="M254" s="46"/>
      <c r="N254" s="263">
        <f>N255+N256+N257+N258</f>
        <v>0</v>
      </c>
      <c r="O254" s="263">
        <f ca="1">IF(L254&gt;0,N254*100/L254,0)</f>
        <v>0</v>
      </c>
      <c r="P254" s="263">
        <f>IF(M254&gt;0,N254*100/M254,0)</f>
        <v>0</v>
      </c>
    </row>
    <row r="255" spans="1:16" ht="18.75" hidden="1" x14ac:dyDescent="0.25">
      <c r="A255" s="136"/>
      <c r="B255" s="228"/>
      <c r="C255" s="41"/>
      <c r="D255" s="279" t="s">
        <v>80</v>
      </c>
      <c r="E255" s="41"/>
      <c r="F255" s="41"/>
      <c r="G255" s="43"/>
      <c r="H255" s="146" t="s">
        <v>12</v>
      </c>
      <c r="I255" s="144"/>
      <c r="J255" s="144"/>
      <c r="K255" s="145"/>
      <c r="L255" s="50">
        <f ca="1">IFERROR(__xludf.DUMMYFUNCTION("IMPORTRANGE(""https://docs.google.com/spreadsheets/d/1eHaY18a8A9IcSdp1K8H6x8fbOy06t2VsZHhMHf-1x7Y/edit?usp=sharing"",""แผน!BB23"")"),0)</f>
        <v>0</v>
      </c>
      <c r="M255" s="46"/>
      <c r="N255" s="264">
        <v>0</v>
      </c>
      <c r="O255" s="46"/>
      <c r="P255" s="46"/>
    </row>
    <row r="256" spans="1:16" ht="18.75" hidden="1" x14ac:dyDescent="0.25">
      <c r="A256" s="227"/>
      <c r="B256" s="228"/>
      <c r="C256" s="228"/>
      <c r="D256" s="279" t="s">
        <v>82</v>
      </c>
      <c r="E256" s="41"/>
      <c r="F256" s="41"/>
      <c r="G256" s="43"/>
      <c r="H256" s="146" t="s">
        <v>12</v>
      </c>
      <c r="I256" s="45"/>
      <c r="J256" s="45"/>
      <c r="K256" s="46"/>
      <c r="L256" s="50">
        <f ca="1">IFERROR(__xludf.DUMMYFUNCTION("IMPORTRANGE(""https://docs.google.com/spreadsheets/d/1eHaY18a8A9IcSdp1K8H6x8fbOy06t2VsZHhMHf-1x7Y/edit?usp=sharing"",""แผน!BC23"")"),0)</f>
        <v>0</v>
      </c>
      <c r="M256" s="46"/>
      <c r="N256" s="264">
        <v>0</v>
      </c>
      <c r="O256" s="46"/>
      <c r="P256" s="46"/>
    </row>
    <row r="257" spans="1:16" ht="18.75" hidden="1" x14ac:dyDescent="0.25">
      <c r="A257" s="227"/>
      <c r="B257" s="228"/>
      <c r="C257" s="228"/>
      <c r="D257" s="279" t="s">
        <v>101</v>
      </c>
      <c r="E257" s="41"/>
      <c r="F257" s="41"/>
      <c r="G257" s="43"/>
      <c r="H257" s="146" t="s">
        <v>12</v>
      </c>
      <c r="I257" s="45"/>
      <c r="J257" s="45"/>
      <c r="K257" s="46"/>
      <c r="L257" s="50">
        <f ca="1">IFERROR(__xludf.DUMMYFUNCTION("IMPORTRANGE(""https://docs.google.com/spreadsheets/d/1eHaY18a8A9IcSdp1K8H6x8fbOy06t2VsZHhMHf-1x7Y/edit?usp=sharing"",""แผน!BD23"")"),0)</f>
        <v>0</v>
      </c>
      <c r="M257" s="46"/>
      <c r="N257" s="264">
        <v>0</v>
      </c>
      <c r="O257" s="46"/>
      <c r="P257" s="46"/>
    </row>
    <row r="258" spans="1:16" ht="18.75" hidden="1" x14ac:dyDescent="0.25">
      <c r="A258" s="227"/>
      <c r="B258" s="228"/>
      <c r="C258" s="228"/>
      <c r="D258" s="279" t="s">
        <v>102</v>
      </c>
      <c r="E258" s="41"/>
      <c r="F258" s="41"/>
      <c r="G258" s="43"/>
      <c r="H258" s="146" t="s">
        <v>12</v>
      </c>
      <c r="I258" s="45"/>
      <c r="J258" s="45"/>
      <c r="K258" s="46"/>
      <c r="L258" s="50">
        <f ca="1">IFERROR(__xludf.DUMMYFUNCTION("IMPORTRANGE(""https://docs.google.com/spreadsheets/d/1eHaY18a8A9IcSdp1K8H6x8fbOy06t2VsZHhMHf-1x7Y/edit?usp=sharing"",""แผน!BE23"")"),0)</f>
        <v>0</v>
      </c>
      <c r="M258" s="46"/>
      <c r="N258" s="264">
        <v>0</v>
      </c>
      <c r="O258" s="46"/>
      <c r="P258" s="46"/>
    </row>
    <row r="259" spans="1:16" ht="19.5" hidden="1" x14ac:dyDescent="0.3">
      <c r="A259" s="148"/>
      <c r="B259" s="149"/>
      <c r="C259" s="265" t="s">
        <v>16</v>
      </c>
      <c r="D259" s="394" t="s">
        <v>36</v>
      </c>
      <c r="E259" s="151"/>
      <c r="F259" s="151"/>
      <c r="G259" s="152"/>
      <c r="H259" s="153"/>
      <c r="I259" s="144"/>
      <c r="J259" s="45"/>
      <c r="K259" s="46"/>
      <c r="L259" s="46"/>
      <c r="M259" s="46"/>
      <c r="N259" s="46"/>
      <c r="O259" s="145"/>
      <c r="P259" s="145"/>
    </row>
    <row r="260" spans="1:16" ht="18.75" hidden="1" x14ac:dyDescent="0.25">
      <c r="A260" s="148"/>
      <c r="B260" s="149"/>
      <c r="C260" s="149"/>
      <c r="D260" s="267" t="s">
        <v>103</v>
      </c>
      <c r="E260" s="155"/>
      <c r="F260" s="155"/>
      <c r="G260" s="153"/>
      <c r="H260" s="268" t="s">
        <v>33</v>
      </c>
      <c r="I260" s="200">
        <f ca="1">IFERROR(__xludf.DUMMYFUNCTION("IMPORTRANGE(""https://docs.google.com/spreadsheets/d/1eHaY18a8A9IcSdp1K8H6x8fbOy06t2VsZHhMHf-1x7Y/edit?usp=sharing"",""แผน!BH23"")"),0)</f>
        <v>0</v>
      </c>
      <c r="J260" s="201">
        <v>0</v>
      </c>
      <c r="K260" s="50">
        <f ca="1">IF(I260&gt;0,J260*100/I260,0)</f>
        <v>0</v>
      </c>
      <c r="L260" s="46"/>
      <c r="M260" s="46"/>
      <c r="N260" s="46"/>
      <c r="O260" s="46"/>
      <c r="P260" s="46"/>
    </row>
    <row r="261" spans="1:16" ht="18.75" hidden="1" x14ac:dyDescent="0.25">
      <c r="A261" s="148"/>
      <c r="B261" s="149"/>
      <c r="C261" s="149"/>
      <c r="D261" s="269" t="s">
        <v>41</v>
      </c>
      <c r="E261" s="155"/>
      <c r="F261" s="155"/>
      <c r="G261" s="153"/>
      <c r="H261" s="153"/>
      <c r="I261" s="45"/>
      <c r="J261" s="45"/>
      <c r="K261" s="46"/>
      <c r="L261" s="46"/>
      <c r="M261" s="46"/>
      <c r="N261" s="46"/>
      <c r="O261" s="145"/>
      <c r="P261" s="145"/>
    </row>
    <row r="262" spans="1:16" ht="18.75" hidden="1" x14ac:dyDescent="0.25">
      <c r="A262" s="148"/>
      <c r="B262" s="149"/>
      <c r="C262" s="149"/>
      <c r="D262" s="149"/>
      <c r="E262" s="270" t="s">
        <v>104</v>
      </c>
      <c r="F262" s="155"/>
      <c r="G262" s="153"/>
      <c r="H262" s="268" t="s">
        <v>33</v>
      </c>
      <c r="I262" s="45"/>
      <c r="J262" s="201">
        <v>0</v>
      </c>
      <c r="K262" s="50">
        <f>IF(I262&gt;0,J262*100/I262,0)</f>
        <v>0</v>
      </c>
      <c r="L262" s="46"/>
      <c r="M262" s="46"/>
      <c r="N262" s="46"/>
      <c r="O262" s="46"/>
      <c r="P262" s="46"/>
    </row>
    <row r="263" spans="1:16" ht="18.75" hidden="1" x14ac:dyDescent="0.25">
      <c r="A263" s="148"/>
      <c r="B263" s="149"/>
      <c r="C263" s="149"/>
      <c r="D263" s="149"/>
      <c r="E263" s="270" t="s">
        <v>105</v>
      </c>
      <c r="F263" s="155"/>
      <c r="G263" s="153"/>
      <c r="H263" s="268" t="s">
        <v>54</v>
      </c>
      <c r="I263" s="45"/>
      <c r="J263" s="201">
        <v>0</v>
      </c>
      <c r="K263" s="50">
        <f>IF(I263&gt;0,J263*100/I263,0)</f>
        <v>0</v>
      </c>
      <c r="L263" s="46"/>
      <c r="M263" s="46"/>
      <c r="N263" s="46"/>
      <c r="O263" s="46"/>
      <c r="P263" s="46"/>
    </row>
    <row r="264" spans="1:16" ht="19.5" hidden="1" x14ac:dyDescent="0.3">
      <c r="A264" s="272" t="s">
        <v>108</v>
      </c>
      <c r="B264" s="215"/>
      <c r="C264" s="215"/>
      <c r="D264" s="216"/>
      <c r="E264" s="216"/>
      <c r="F264" s="216"/>
      <c r="G264" s="217"/>
      <c r="H264" s="217"/>
      <c r="I264" s="218"/>
      <c r="J264" s="218"/>
      <c r="K264" s="219"/>
      <c r="L264" s="219"/>
      <c r="M264" s="219"/>
      <c r="N264" s="219"/>
      <c r="O264" s="219"/>
      <c r="P264" s="219"/>
    </row>
    <row r="265" spans="1:16" ht="19.5" hidden="1" x14ac:dyDescent="0.3">
      <c r="A265" s="220"/>
      <c r="B265" s="273" t="s">
        <v>109</v>
      </c>
      <c r="C265" s="222"/>
      <c r="D265" s="151"/>
      <c r="E265" s="151"/>
      <c r="F265" s="151"/>
      <c r="G265" s="152"/>
      <c r="H265" s="274" t="s">
        <v>33</v>
      </c>
      <c r="I265" s="275">
        <f>I276</f>
        <v>0</v>
      </c>
      <c r="J265" s="275">
        <f>J276</f>
        <v>0</v>
      </c>
      <c r="K265" s="276">
        <f>IF(I265&gt;0,J265*100/I265,0)</f>
        <v>0</v>
      </c>
      <c r="L265" s="226"/>
      <c r="M265" s="226"/>
      <c r="N265" s="226"/>
      <c r="O265" s="226"/>
      <c r="P265" s="226"/>
    </row>
    <row r="266" spans="1:16" ht="19.5" hidden="1" x14ac:dyDescent="0.3">
      <c r="A266" s="136"/>
      <c r="B266" s="41"/>
      <c r="C266" s="260" t="s">
        <v>16</v>
      </c>
      <c r="D266" s="261" t="s">
        <v>17</v>
      </c>
      <c r="E266" s="41"/>
      <c r="F266" s="41"/>
      <c r="G266" s="43"/>
      <c r="H266" s="277" t="s">
        <v>12</v>
      </c>
      <c r="I266" s="45"/>
      <c r="J266" s="45"/>
      <c r="K266" s="46"/>
      <c r="L266" s="263">
        <f ca="1">L267+L268</f>
        <v>0</v>
      </c>
      <c r="M266" s="263">
        <f ca="1">M267+M268</f>
        <v>0</v>
      </c>
      <c r="N266" s="263">
        <f ca="1">N267+N268</f>
        <v>0</v>
      </c>
      <c r="O266" s="263">
        <f ca="1">IF(L266&gt;0,N266*100/L266,0)</f>
        <v>0</v>
      </c>
      <c r="P266" s="263">
        <f ca="1">IF(M266&gt;0,N266*100/M266,0)</f>
        <v>0</v>
      </c>
    </row>
    <row r="267" spans="1:16" ht="18.75" hidden="1" x14ac:dyDescent="0.25">
      <c r="A267" s="136"/>
      <c r="B267" s="41"/>
      <c r="C267" s="41"/>
      <c r="D267" s="41"/>
      <c r="E267" s="279" t="s">
        <v>18</v>
      </c>
      <c r="F267" s="41"/>
      <c r="G267" s="43"/>
      <c r="H267" s="141" t="s">
        <v>12</v>
      </c>
      <c r="I267" s="45"/>
      <c r="J267" s="45"/>
      <c r="K267" s="46"/>
      <c r="L267" s="50">
        <f>L270+L273</f>
        <v>0</v>
      </c>
      <c r="M267" s="50">
        <f>M270+M273</f>
        <v>0</v>
      </c>
      <c r="N267" s="50">
        <f>N270+N273</f>
        <v>0</v>
      </c>
      <c r="O267" s="50">
        <f>IF(L267&gt;0,N267*100/L267,0)</f>
        <v>0</v>
      </c>
      <c r="P267" s="50">
        <f>IF(M267&gt;0,N267*100/M267,0)</f>
        <v>0</v>
      </c>
    </row>
    <row r="268" spans="1:16" ht="18.75" hidden="1" x14ac:dyDescent="0.25">
      <c r="A268" s="136"/>
      <c r="B268" s="41"/>
      <c r="C268" s="41"/>
      <c r="D268" s="41"/>
      <c r="E268" s="279" t="s">
        <v>19</v>
      </c>
      <c r="F268" s="41"/>
      <c r="G268" s="43"/>
      <c r="H268" s="141" t="s">
        <v>12</v>
      </c>
      <c r="I268" s="45"/>
      <c r="J268" s="45"/>
      <c r="K268" s="46"/>
      <c r="L268" s="50">
        <f ca="1">L271+L274</f>
        <v>0</v>
      </c>
      <c r="M268" s="50">
        <f ca="1">M271+M274</f>
        <v>0</v>
      </c>
      <c r="N268" s="50">
        <f ca="1">N271+N274</f>
        <v>0</v>
      </c>
      <c r="O268" s="50">
        <f ca="1">IF(L268&gt;0,N268*100/L268,0)</f>
        <v>0</v>
      </c>
      <c r="P268" s="50">
        <f ca="1">IF(M268&gt;0,N268*100/M268,0)</f>
        <v>0</v>
      </c>
    </row>
    <row r="269" spans="1:16" ht="18.75" hidden="1" x14ac:dyDescent="0.25">
      <c r="A269" s="136"/>
      <c r="B269" s="41"/>
      <c r="C269" s="41"/>
      <c r="D269" s="278" t="s">
        <v>20</v>
      </c>
      <c r="E269" s="41"/>
      <c r="F269" s="41"/>
      <c r="G269" s="43"/>
      <c r="H269" s="146" t="s">
        <v>12</v>
      </c>
      <c r="I269" s="144"/>
      <c r="J269" s="144"/>
      <c r="K269" s="145"/>
      <c r="L269" s="50">
        <f ca="1">L270+L271</f>
        <v>0</v>
      </c>
      <c r="M269" s="50">
        <f ca="1">M270+M271</f>
        <v>0</v>
      </c>
      <c r="N269" s="50">
        <f ca="1">N270+N271</f>
        <v>0</v>
      </c>
      <c r="O269" s="50">
        <f ca="1">IF(L269&gt;0,N269*100/L269,0)</f>
        <v>0</v>
      </c>
      <c r="P269" s="50">
        <f ca="1">IF(M269&gt;0,N269*100/M269,0)</f>
        <v>0</v>
      </c>
    </row>
    <row r="270" spans="1:16" ht="18.75" hidden="1" x14ac:dyDescent="0.25">
      <c r="A270" s="136"/>
      <c r="B270" s="41"/>
      <c r="C270" s="41"/>
      <c r="D270" s="41"/>
      <c r="E270" s="279" t="s">
        <v>34</v>
      </c>
      <c r="F270" s="41"/>
      <c r="G270" s="43"/>
      <c r="H270" s="146" t="s">
        <v>12</v>
      </c>
      <c r="I270" s="144"/>
      <c r="J270" s="144"/>
      <c r="K270" s="145"/>
      <c r="L270" s="50">
        <v>0</v>
      </c>
      <c r="M270" s="50">
        <v>0</v>
      </c>
      <c r="N270" s="50">
        <v>0</v>
      </c>
      <c r="O270" s="50">
        <f>IF(L270&gt;0,N270*100/L270,0)</f>
        <v>0</v>
      </c>
      <c r="P270" s="50">
        <f>IF(M270&gt;0,N270*100/M270,0)</f>
        <v>0</v>
      </c>
    </row>
    <row r="271" spans="1:16" ht="18.75" hidden="1" x14ac:dyDescent="0.25">
      <c r="A271" s="136"/>
      <c r="B271" s="41"/>
      <c r="C271" s="41"/>
      <c r="D271" s="41"/>
      <c r="E271" s="279" t="s">
        <v>35</v>
      </c>
      <c r="F271" s="41"/>
      <c r="G271" s="43"/>
      <c r="H271" s="146" t="s">
        <v>12</v>
      </c>
      <c r="I271" s="144"/>
      <c r="J271" s="144"/>
      <c r="K271" s="145"/>
      <c r="L271" s="50">
        <f ca="1">IFERROR(__xludf.DUMMYFUNCTION("IMPORTRANGE(""https://docs.google.com/spreadsheets/d/1-uDff_7J0KD5mKrp0Vvzr7lt3OU09vwQwhkpOPPYv2Y/edit?usp=sharing"",""งบพรบ!DE23"")"),0)</f>
        <v>0</v>
      </c>
      <c r="M271" s="50">
        <f ca="1">IFERROR(__xludf.DUMMYFUNCTION("IMPORTRANGE(""https://docs.google.com/spreadsheets/d/1-uDff_7J0KD5mKrp0Vvzr7lt3OU09vwQwhkpOPPYv2Y/edit?usp=sharing"",""งบพรบ!DJ23"")"),0)</f>
        <v>0</v>
      </c>
      <c r="N271" s="50">
        <f ca="1">IFERROR(__xludf.DUMMYFUNCTION("IMPORTRANGE(""https://docs.google.com/spreadsheets/d/1-uDff_7J0KD5mKrp0Vvzr7lt3OU09vwQwhkpOPPYv2Y/edit?usp=sharing"",""งบพรบ!DL23"")"),0)</f>
        <v>0</v>
      </c>
      <c r="O271" s="50">
        <f ca="1">IF(L271&gt;0,N271*100/L271,0)</f>
        <v>0</v>
      </c>
      <c r="P271" s="50">
        <f ca="1">IF(M271&gt;0,N271*100/M271,0)</f>
        <v>0</v>
      </c>
    </row>
    <row r="272" spans="1:16" ht="18.75" hidden="1" x14ac:dyDescent="0.25">
      <c r="A272" s="136"/>
      <c r="B272" s="41"/>
      <c r="C272" s="41"/>
      <c r="D272" s="278" t="s">
        <v>21</v>
      </c>
      <c r="E272" s="41"/>
      <c r="F272" s="41"/>
      <c r="G272" s="43"/>
      <c r="H272" s="199" t="s">
        <v>12</v>
      </c>
      <c r="I272" s="144"/>
      <c r="J272" s="144"/>
      <c r="K272" s="145"/>
      <c r="L272" s="50">
        <f ca="1">L273+L274</f>
        <v>0</v>
      </c>
      <c r="M272" s="50">
        <f ca="1">M273+M274</f>
        <v>0</v>
      </c>
      <c r="N272" s="50">
        <f ca="1">N273+N274</f>
        <v>0</v>
      </c>
      <c r="O272" s="50">
        <f ca="1">IF(L272&gt;0,N272*100/L272,0)</f>
        <v>0</v>
      </c>
      <c r="P272" s="50">
        <f ca="1">IF(M272&gt;0,N272*100/M272,0)</f>
        <v>0</v>
      </c>
    </row>
    <row r="273" spans="1:16" ht="18.75" hidden="1" x14ac:dyDescent="0.25">
      <c r="A273" s="136"/>
      <c r="B273" s="41"/>
      <c r="C273" s="41"/>
      <c r="D273" s="41"/>
      <c r="E273" s="279" t="s">
        <v>18</v>
      </c>
      <c r="F273" s="41"/>
      <c r="G273" s="43"/>
      <c r="H273" s="146" t="s">
        <v>12</v>
      </c>
      <c r="I273" s="144"/>
      <c r="J273" s="144"/>
      <c r="K273" s="145"/>
      <c r="L273" s="50">
        <v>0</v>
      </c>
      <c r="M273" s="50">
        <v>0</v>
      </c>
      <c r="N273" s="50">
        <v>0</v>
      </c>
      <c r="O273" s="50">
        <f>IF(L273&gt;0,N273*100/L273,0)</f>
        <v>0</v>
      </c>
      <c r="P273" s="50">
        <f>IF(M273&gt;0,N273*100/M273,0)</f>
        <v>0</v>
      </c>
    </row>
    <row r="274" spans="1:16" ht="18.75" hidden="1" x14ac:dyDescent="0.25">
      <c r="A274" s="136"/>
      <c r="B274" s="41"/>
      <c r="C274" s="41"/>
      <c r="D274" s="41"/>
      <c r="E274" s="279" t="s">
        <v>19</v>
      </c>
      <c r="F274" s="41"/>
      <c r="G274" s="43"/>
      <c r="H274" s="199" t="s">
        <v>12</v>
      </c>
      <c r="I274" s="144"/>
      <c r="J274" s="144"/>
      <c r="K274" s="145"/>
      <c r="L274" s="50">
        <f ca="1">IFERROR(__xludf.DUMMYFUNCTION("IMPORTRANGE(""https://docs.google.com/spreadsheets/d/1-uDff_7J0KD5mKrp0Vvzr7lt3OU09vwQwhkpOPPYv2Y/edit?usp=sharing"",""งบพรบ!DH23"")"),0)</f>
        <v>0</v>
      </c>
      <c r="M274" s="50">
        <f ca="1">IFERROR(__xludf.DUMMYFUNCTION("IMPORTRANGE(""https://docs.google.com/spreadsheets/d/1-uDff_7J0KD5mKrp0Vvzr7lt3OU09vwQwhkpOPPYv2Y/edit?usp=sharing"",""งบพรบ!DK23"")"),0)</f>
        <v>0</v>
      </c>
      <c r="N274" s="50">
        <f ca="1">IFERROR(__xludf.DUMMYFUNCTION("IMPORTRANGE(""https://docs.google.com/spreadsheets/d/1-uDff_7J0KD5mKrp0Vvzr7lt3OU09vwQwhkpOPPYv2Y/edit?usp=sharing"",""งบพรบ!DM23"")"),0)</f>
        <v>0</v>
      </c>
      <c r="O274" s="50">
        <f ca="1">IF(L274&gt;0,N274*100/L274,0)</f>
        <v>0</v>
      </c>
      <c r="P274" s="50">
        <f ca="1">IF(M274&gt;0,N274*100/M274,0)</f>
        <v>0</v>
      </c>
    </row>
    <row r="275" spans="1:16" ht="19.5" hidden="1" x14ac:dyDescent="0.3">
      <c r="A275" s="148"/>
      <c r="B275" s="149"/>
      <c r="C275" s="279" t="s">
        <v>16</v>
      </c>
      <c r="D275" s="394" t="s">
        <v>36</v>
      </c>
      <c r="E275" s="151"/>
      <c r="F275" s="151"/>
      <c r="G275" s="152"/>
      <c r="H275" s="153"/>
      <c r="I275" s="144"/>
      <c r="J275" s="144"/>
      <c r="K275" s="145"/>
      <c r="L275" s="145"/>
      <c r="M275" s="145"/>
      <c r="N275" s="145"/>
      <c r="O275" s="145"/>
      <c r="P275" s="145"/>
    </row>
    <row r="276" spans="1:16" ht="12.75" hidden="1" x14ac:dyDescent="0.2">
      <c r="A276" s="165"/>
      <c r="B276" s="166"/>
      <c r="C276" s="166"/>
      <c r="D276" s="16"/>
      <c r="E276" s="16"/>
      <c r="F276" s="16"/>
      <c r="G276" s="17"/>
      <c r="H276" s="17"/>
      <c r="I276" s="18"/>
      <c r="J276" s="18"/>
      <c r="K276" s="19"/>
      <c r="L276" s="19"/>
      <c r="M276" s="19"/>
      <c r="N276" s="19"/>
      <c r="O276" s="19"/>
      <c r="P276" s="19"/>
    </row>
    <row r="277" spans="1:16" ht="18.75" hidden="1" x14ac:dyDescent="0.25">
      <c r="A277" s="280"/>
      <c r="B277" s="281"/>
      <c r="C277" s="281"/>
      <c r="D277" s="282" t="s">
        <v>110</v>
      </c>
      <c r="E277" s="283"/>
      <c r="F277" s="283"/>
      <c r="G277" s="284"/>
      <c r="H277" s="285" t="s">
        <v>33</v>
      </c>
      <c r="I277" s="205">
        <v>0</v>
      </c>
      <c r="J277" s="205">
        <v>0</v>
      </c>
      <c r="K277" s="286">
        <v>0</v>
      </c>
      <c r="L277" s="287"/>
      <c r="M277" s="287"/>
      <c r="N277" s="287"/>
      <c r="O277" s="287"/>
      <c r="P277" s="287"/>
    </row>
    <row r="278" spans="1:16" ht="19.5" x14ac:dyDescent="0.3">
      <c r="A278" s="288" t="s">
        <v>111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</row>
    <row r="279" spans="1:16" ht="19.5" x14ac:dyDescent="0.3">
      <c r="A279" s="294" t="s">
        <v>112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299"/>
      <c r="M279" s="299"/>
      <c r="N279" s="299"/>
      <c r="O279" s="299"/>
      <c r="P279" s="299"/>
    </row>
    <row r="280" spans="1:16" ht="19.5" x14ac:dyDescent="0.3">
      <c r="A280" s="300"/>
      <c r="B280" s="301" t="s">
        <v>113</v>
      </c>
      <c r="C280" s="302"/>
      <c r="D280" s="303"/>
      <c r="E280" s="302"/>
      <c r="F280" s="302"/>
      <c r="G280" s="304"/>
      <c r="H280" s="305" t="s">
        <v>33</v>
      </c>
      <c r="I280" s="306">
        <f ca="1">I293</f>
        <v>70</v>
      </c>
      <c r="J280" s="306">
        <f>J293</f>
        <v>70</v>
      </c>
      <c r="K280" s="307">
        <f ca="1">IF(I280&gt;0,J280*100/I280,0)</f>
        <v>100</v>
      </c>
      <c r="L280" s="308"/>
      <c r="M280" s="308"/>
      <c r="N280" s="308"/>
      <c r="O280" s="308"/>
      <c r="P280" s="308"/>
    </row>
    <row r="281" spans="1:16" ht="19.5" x14ac:dyDescent="0.3">
      <c r="A281" s="300"/>
      <c r="B281" s="302"/>
      <c r="C281" s="302"/>
      <c r="D281" s="303"/>
      <c r="E281" s="302"/>
      <c r="F281" s="302"/>
      <c r="G281" s="304"/>
      <c r="H281" s="305" t="s">
        <v>44</v>
      </c>
      <c r="I281" s="306">
        <f ca="1">I292</f>
        <v>700</v>
      </c>
      <c r="J281" s="306">
        <f>J292</f>
        <v>700</v>
      </c>
      <c r="K281" s="307">
        <f ca="1">IF(I281&gt;0,J281*100/I281,0)</f>
        <v>100</v>
      </c>
      <c r="L281" s="308"/>
      <c r="M281" s="308"/>
      <c r="N281" s="308"/>
      <c r="O281" s="308"/>
      <c r="P281" s="308"/>
    </row>
    <row r="282" spans="1:16" ht="19.5" x14ac:dyDescent="0.3">
      <c r="A282" s="136"/>
      <c r="B282" s="41"/>
      <c r="C282" s="197" t="s">
        <v>16</v>
      </c>
      <c r="D282" s="397" t="s">
        <v>17</v>
      </c>
      <c r="E282" s="41"/>
      <c r="F282" s="41"/>
      <c r="G282" s="43"/>
      <c r="H282" s="139" t="s">
        <v>12</v>
      </c>
      <c r="I282" s="45"/>
      <c r="J282" s="45"/>
      <c r="K282" s="46"/>
      <c r="L282" s="140">
        <f ca="1">L283+L284</f>
        <v>222220</v>
      </c>
      <c r="M282" s="140">
        <f ca="1">M283+M284</f>
        <v>187980</v>
      </c>
      <c r="N282" s="140">
        <f ca="1">N283+N284</f>
        <v>106360</v>
      </c>
      <c r="O282" s="140">
        <f ca="1">IF(L282&gt;0,N282*100/L282,0)</f>
        <v>47.862478624786249</v>
      </c>
      <c r="P282" s="140">
        <f ca="1">IF(M282&gt;0,N282*100/M282,0)</f>
        <v>56.580487285881475</v>
      </c>
    </row>
    <row r="283" spans="1:16" ht="18.75" hidden="1" x14ac:dyDescent="0.25">
      <c r="A283" s="136"/>
      <c r="B283" s="41"/>
      <c r="C283" s="41"/>
      <c r="D283" s="41"/>
      <c r="E283" s="279" t="s">
        <v>18</v>
      </c>
      <c r="F283" s="41"/>
      <c r="G283" s="43"/>
      <c r="H283" s="141" t="s">
        <v>12</v>
      </c>
      <c r="I283" s="45"/>
      <c r="J283" s="45"/>
      <c r="K283" s="46"/>
      <c r="L283" s="50">
        <f>L286+L289</f>
        <v>0</v>
      </c>
      <c r="M283" s="50">
        <f>M286+M289</f>
        <v>0</v>
      </c>
      <c r="N283" s="50">
        <f>N286+N289</f>
        <v>0</v>
      </c>
      <c r="O283" s="50">
        <f>IF(L283&gt;0,N283*100/L283,0)</f>
        <v>0</v>
      </c>
      <c r="P283" s="50">
        <f>IF(M283&gt;0,N283*100/M283,0)</f>
        <v>0</v>
      </c>
    </row>
    <row r="284" spans="1:16" ht="18.75" x14ac:dyDescent="0.25">
      <c r="A284" s="136"/>
      <c r="B284" s="41"/>
      <c r="C284" s="41"/>
      <c r="D284" s="41"/>
      <c r="E284" s="254" t="s">
        <v>19</v>
      </c>
      <c r="F284" s="41"/>
      <c r="G284" s="43"/>
      <c r="H284" s="142" t="s">
        <v>12</v>
      </c>
      <c r="I284" s="45"/>
      <c r="J284" s="45"/>
      <c r="K284" s="46"/>
      <c r="L284" s="47">
        <f ca="1">L287+L290</f>
        <v>222220</v>
      </c>
      <c r="M284" s="47">
        <f ca="1">M287+M290</f>
        <v>187980</v>
      </c>
      <c r="N284" s="47">
        <f ca="1">N287+N290</f>
        <v>106360</v>
      </c>
      <c r="O284" s="47">
        <f ca="1">IF(L284&gt;0,N284*100/L284,0)</f>
        <v>47.862478624786249</v>
      </c>
      <c r="P284" s="47">
        <f ca="1">IF(M284&gt;0,N284*100/M284,0)</f>
        <v>56.580487285881475</v>
      </c>
    </row>
    <row r="285" spans="1:16" ht="18.75" x14ac:dyDescent="0.25">
      <c r="A285" s="136"/>
      <c r="B285" s="41"/>
      <c r="C285" s="41"/>
      <c r="D285" s="42" t="s">
        <v>20</v>
      </c>
      <c r="E285" s="41"/>
      <c r="F285" s="41"/>
      <c r="G285" s="43"/>
      <c r="H285" s="143" t="s">
        <v>12</v>
      </c>
      <c r="I285" s="144"/>
      <c r="J285" s="144"/>
      <c r="K285" s="145"/>
      <c r="L285" s="47">
        <f ca="1">L286+L287</f>
        <v>222220</v>
      </c>
      <c r="M285" s="47">
        <f ca="1">M286+M287</f>
        <v>187980</v>
      </c>
      <c r="N285" s="47">
        <f ca="1">N286+N287</f>
        <v>106360</v>
      </c>
      <c r="O285" s="47">
        <f ca="1">IF(L285&gt;0,N285*100/L285,0)</f>
        <v>47.862478624786249</v>
      </c>
      <c r="P285" s="47">
        <f ca="1">IF(M285&gt;0,N285*100/M285,0)</f>
        <v>56.580487285881475</v>
      </c>
    </row>
    <row r="286" spans="1:16" ht="18.75" hidden="1" x14ac:dyDescent="0.25">
      <c r="A286" s="136"/>
      <c r="B286" s="41"/>
      <c r="C286" s="41"/>
      <c r="D286" s="41"/>
      <c r="E286" s="279" t="s">
        <v>34</v>
      </c>
      <c r="F286" s="41"/>
      <c r="G286" s="43"/>
      <c r="H286" s="146" t="s">
        <v>12</v>
      </c>
      <c r="I286" s="144"/>
      <c r="J286" s="144"/>
      <c r="K286" s="145"/>
      <c r="L286" s="50">
        <v>0</v>
      </c>
      <c r="M286" s="50">
        <v>0</v>
      </c>
      <c r="N286" s="50">
        <v>0</v>
      </c>
      <c r="O286" s="50">
        <f>IF(L286&gt;0,N286*100/L286,0)</f>
        <v>0</v>
      </c>
      <c r="P286" s="50">
        <f>IF(M286&gt;0,N286*100/M286,0)</f>
        <v>0</v>
      </c>
    </row>
    <row r="287" spans="1:16" ht="18.75" x14ac:dyDescent="0.25">
      <c r="A287" s="136"/>
      <c r="B287" s="41"/>
      <c r="C287" s="41"/>
      <c r="D287" s="41"/>
      <c r="E287" s="254" t="s">
        <v>35</v>
      </c>
      <c r="F287" s="41"/>
      <c r="G287" s="43"/>
      <c r="H287" s="143" t="s">
        <v>12</v>
      </c>
      <c r="I287" s="144"/>
      <c r="J287" s="144"/>
      <c r="K287" s="145"/>
      <c r="L287" s="47">
        <f ca="1">IFERROR(__xludf.DUMMYFUNCTION("IMPORTRANGE(""https://docs.google.com/spreadsheets/d/1-uDff_7J0KD5mKrp0Vvzr7lt3OU09vwQwhkpOPPYv2Y/edit?usp=sharing"",""งบพรบ!DO23"")"),222220)</f>
        <v>222220</v>
      </c>
      <c r="M287" s="47">
        <f ca="1">IFERROR(__xludf.DUMMYFUNCTION("IMPORTRANGE(""https://docs.google.com/spreadsheets/d/1-uDff_7J0KD5mKrp0Vvzr7lt3OU09vwQwhkpOPPYv2Y/edit?usp=sharing"",""งบพรบ!DT23"")"),187980)</f>
        <v>187980</v>
      </c>
      <c r="N287" s="47">
        <f ca="1">IFERROR(__xludf.DUMMYFUNCTION("IMPORTRANGE(""https://docs.google.com/spreadsheets/d/1-uDff_7J0KD5mKrp0Vvzr7lt3OU09vwQwhkpOPPYv2Y/edit?usp=sharing"",""งบพรบ!DV23"")"),106360)</f>
        <v>106360</v>
      </c>
      <c r="O287" s="47">
        <f ca="1">IF(L287&gt;0,N287*100/L287,0)</f>
        <v>47.862478624786249</v>
      </c>
      <c r="P287" s="47">
        <f ca="1">IF(M287&gt;0,N287*100/M287,0)</f>
        <v>56.580487285881475</v>
      </c>
    </row>
    <row r="288" spans="1:16" ht="18.75" x14ac:dyDescent="0.25">
      <c r="A288" s="136"/>
      <c r="B288" s="41"/>
      <c r="C288" s="41"/>
      <c r="D288" s="42" t="s">
        <v>21</v>
      </c>
      <c r="E288" s="41"/>
      <c r="F288" s="41"/>
      <c r="G288" s="43"/>
      <c r="H288" s="147" t="s">
        <v>12</v>
      </c>
      <c r="I288" s="144"/>
      <c r="J288" s="144"/>
      <c r="K288" s="145"/>
      <c r="L288" s="47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</row>
    <row r="289" spans="1:16" ht="18.75" hidden="1" x14ac:dyDescent="0.25">
      <c r="A289" s="136"/>
      <c r="B289" s="41"/>
      <c r="C289" s="41"/>
      <c r="D289" s="41"/>
      <c r="E289" s="279" t="s">
        <v>18</v>
      </c>
      <c r="F289" s="41"/>
      <c r="G289" s="43"/>
      <c r="H289" s="146" t="s">
        <v>12</v>
      </c>
      <c r="I289" s="144"/>
      <c r="J289" s="144"/>
      <c r="K289" s="145"/>
      <c r="L289" s="50">
        <v>0</v>
      </c>
      <c r="M289" s="50">
        <v>0</v>
      </c>
      <c r="N289" s="50">
        <v>0</v>
      </c>
      <c r="O289" s="50">
        <f>IF(L289&gt;0,N289*100/L289,0)</f>
        <v>0</v>
      </c>
      <c r="P289" s="50">
        <f>IF(M289&gt;0,N289*100/M289,0)</f>
        <v>0</v>
      </c>
    </row>
    <row r="290" spans="1:16" ht="18.75" x14ac:dyDescent="0.25">
      <c r="A290" s="136"/>
      <c r="B290" s="41"/>
      <c r="C290" s="41"/>
      <c r="D290" s="41"/>
      <c r="E290" s="254" t="s">
        <v>19</v>
      </c>
      <c r="F290" s="41"/>
      <c r="G290" s="43"/>
      <c r="H290" s="147" t="s">
        <v>12</v>
      </c>
      <c r="I290" s="144"/>
      <c r="J290" s="144"/>
      <c r="K290" s="145"/>
      <c r="L290" s="47">
        <f ca="1">IFERROR(__xludf.DUMMYFUNCTION("IMPORTRANGE(""https://docs.google.com/spreadsheets/d/1-uDff_7J0KD5mKrp0Vvzr7lt3OU09vwQwhkpOPPYv2Y/edit?usp=sharing"",""งบพรบ!DR23"")"),0)</f>
        <v>0</v>
      </c>
      <c r="M290" s="47">
        <f ca="1">IFERROR(__xludf.DUMMYFUNCTION("IMPORTRANGE(""https://docs.google.com/spreadsheets/d/1-uDff_7J0KD5mKrp0Vvzr7lt3OU09vwQwhkpOPPYv2Y/edit?usp=sharing"",""งบพรบ!DU23"")"),0)</f>
        <v>0</v>
      </c>
      <c r="N290" s="47">
        <f ca="1">IFERROR(__xludf.DUMMYFUNCTION("IMPORTRANGE(""https://docs.google.com/spreadsheets/d/1-uDff_7J0KD5mKrp0Vvzr7lt3OU09vwQwhkpOPPYv2Y/edit?usp=sharing"",""งบพรบ!DW23"")"),0)</f>
        <v>0</v>
      </c>
      <c r="O290" s="47">
        <f ca="1">IF(L290&gt;0,N290*100/L290,0)</f>
        <v>0</v>
      </c>
      <c r="P290" s="47">
        <f ca="1">IF(M290&gt;0,N290*100/M290,0)</f>
        <v>0</v>
      </c>
    </row>
    <row r="291" spans="1:16" ht="19.5" x14ac:dyDescent="0.3">
      <c r="A291" s="148"/>
      <c r="B291" s="149"/>
      <c r="C291" s="197" t="s">
        <v>16</v>
      </c>
      <c r="D291" s="395" t="s">
        <v>36</v>
      </c>
      <c r="E291" s="151"/>
      <c r="F291" s="151"/>
      <c r="G291" s="152"/>
      <c r="H291" s="153"/>
      <c r="I291" s="144"/>
      <c r="J291" s="144"/>
      <c r="K291" s="145"/>
      <c r="L291" s="145"/>
      <c r="M291" s="145"/>
      <c r="N291" s="145"/>
      <c r="O291" s="145"/>
      <c r="P291" s="145"/>
    </row>
    <row r="292" spans="1:16" ht="18.75" x14ac:dyDescent="0.25">
      <c r="A292" s="148"/>
      <c r="B292" s="149"/>
      <c r="C292" s="149"/>
      <c r="D292" s="159" t="s">
        <v>114</v>
      </c>
      <c r="E292" s="149"/>
      <c r="F292" s="155"/>
      <c r="G292" s="153"/>
      <c r="H292" s="164" t="s">
        <v>44</v>
      </c>
      <c r="I292" s="169">
        <f ca="1">IFERROR(__xludf.DUMMYFUNCTION("IMPORTRANGE(""https://docs.google.com/spreadsheets/d/1eHaY18a8A9IcSdp1K8H6x8fbOy06t2VsZHhMHf-1x7Y/edit?usp=sharing"",""แผน!EE23"")"),700)</f>
        <v>700</v>
      </c>
      <c r="J292" s="250">
        <v>700</v>
      </c>
      <c r="K292" s="163">
        <f ca="1">IF(I292&gt;0,J292*100/I292,0)</f>
        <v>100</v>
      </c>
      <c r="L292" s="145"/>
      <c r="M292" s="145"/>
      <c r="N292" s="145"/>
      <c r="O292" s="145"/>
      <c r="P292" s="145"/>
    </row>
    <row r="293" spans="1:16" ht="19.5" x14ac:dyDescent="0.3">
      <c r="A293" s="148"/>
      <c r="B293" s="149"/>
      <c r="C293" s="149"/>
      <c r="D293" s="159" t="s">
        <v>115</v>
      </c>
      <c r="E293" s="149"/>
      <c r="F293" s="155"/>
      <c r="G293" s="153"/>
      <c r="H293" s="156" t="s">
        <v>33</v>
      </c>
      <c r="I293" s="157">
        <f ca="1">IFERROR(__xludf.DUMMYFUNCTION("IMPORTRANGE(""https://docs.google.com/spreadsheets/d/1eHaY18a8A9IcSdp1K8H6x8fbOy06t2VsZHhMHf-1x7Y/edit?usp=sharing"",""แผน!ED23"")"),70)</f>
        <v>70</v>
      </c>
      <c r="J293" s="157">
        <f>J296</f>
        <v>70</v>
      </c>
      <c r="K293" s="158">
        <f ca="1">IF(I293&gt;0,J293*100/I293,0)</f>
        <v>100</v>
      </c>
      <c r="L293" s="145"/>
      <c r="M293" s="145"/>
      <c r="N293" s="145"/>
      <c r="O293" s="145"/>
      <c r="P293" s="145"/>
    </row>
    <row r="294" spans="1:16" ht="19.5" x14ac:dyDescent="0.3">
      <c r="A294" s="148"/>
      <c r="B294" s="149"/>
      <c r="C294" s="149"/>
      <c r="D294" s="155"/>
      <c r="E294" s="167" t="s">
        <v>116</v>
      </c>
      <c r="F294" s="155"/>
      <c r="G294" s="153"/>
      <c r="H294" s="153"/>
      <c r="I294" s="144"/>
      <c r="J294" s="45"/>
      <c r="K294" s="145"/>
      <c r="L294" s="145"/>
      <c r="M294" s="145"/>
      <c r="N294" s="145"/>
      <c r="O294" s="145"/>
      <c r="P294" s="145"/>
    </row>
    <row r="295" spans="1:16" ht="19.5" x14ac:dyDescent="0.3">
      <c r="A295" s="148"/>
      <c r="B295" s="149"/>
      <c r="C295" s="149"/>
      <c r="D295" s="155"/>
      <c r="E295" s="159" t="s">
        <v>117</v>
      </c>
      <c r="F295" s="155"/>
      <c r="G295" s="153"/>
      <c r="H295" s="251" t="s">
        <v>33</v>
      </c>
      <c r="I295" s="161">
        <f ca="1">IFERROR(__xludf.DUMMYFUNCTION("IMPORTRANGE(""https://docs.google.com/spreadsheets/d/1eHaY18a8A9IcSdp1K8H6x8fbOy06t2VsZHhMHf-1x7Y/edit?usp=sharing"",""แผน!ED23"")"),70)</f>
        <v>70</v>
      </c>
      <c r="J295" s="250">
        <v>70</v>
      </c>
      <c r="K295" s="163">
        <f ca="1">IF(I295&gt;0,J295*100/I295,0)</f>
        <v>100</v>
      </c>
      <c r="L295" s="145"/>
      <c r="M295" s="145"/>
      <c r="N295" s="145"/>
      <c r="O295" s="145"/>
      <c r="P295" s="145"/>
    </row>
    <row r="296" spans="1:16" ht="19.5" x14ac:dyDescent="0.3">
      <c r="A296" s="148"/>
      <c r="B296" s="149"/>
      <c r="C296" s="149"/>
      <c r="D296" s="155"/>
      <c r="E296" s="159" t="s">
        <v>118</v>
      </c>
      <c r="F296" s="155"/>
      <c r="G296" s="153"/>
      <c r="H296" s="251" t="s">
        <v>33</v>
      </c>
      <c r="I296" s="161">
        <f ca="1">IFERROR(__xludf.DUMMYFUNCTION("IMPORTRANGE(""https://docs.google.com/spreadsheets/d/1eHaY18a8A9IcSdp1K8H6x8fbOy06t2VsZHhMHf-1x7Y/edit?usp=sharing"",""แผน!ED23"")"),70)</f>
        <v>70</v>
      </c>
      <c r="J296" s="250">
        <v>70</v>
      </c>
      <c r="K296" s="163">
        <f ca="1">IF(I296&gt;0,J296*100/I296,0)</f>
        <v>100</v>
      </c>
      <c r="L296" s="145"/>
      <c r="M296" s="145"/>
      <c r="N296" s="145"/>
      <c r="O296" s="145"/>
      <c r="P296" s="145"/>
    </row>
    <row r="297" spans="1:16" ht="12.75" hidden="1" x14ac:dyDescent="0.2">
      <c r="A297" s="165"/>
      <c r="B297" s="166"/>
      <c r="C297" s="166"/>
      <c r="D297" s="16"/>
      <c r="E297" s="16"/>
      <c r="F297" s="16"/>
      <c r="G297" s="17"/>
      <c r="H297" s="17"/>
      <c r="I297" s="18"/>
      <c r="J297" s="18"/>
      <c r="K297" s="19"/>
      <c r="L297" s="19"/>
      <c r="M297" s="19"/>
      <c r="N297" s="19"/>
      <c r="O297" s="19"/>
      <c r="P297" s="19"/>
    </row>
    <row r="298" spans="1:16" ht="12.75" hidden="1" x14ac:dyDescent="0.2">
      <c r="A298" s="165"/>
      <c r="B298" s="166"/>
      <c r="C298" s="166"/>
      <c r="D298" s="16"/>
      <c r="E298" s="16"/>
      <c r="F298" s="16"/>
      <c r="G298" s="17"/>
      <c r="H298" s="17"/>
      <c r="I298" s="18"/>
      <c r="J298" s="18"/>
      <c r="K298" s="19"/>
      <c r="L298" s="19"/>
      <c r="M298" s="19"/>
      <c r="N298" s="19"/>
      <c r="O298" s="19"/>
      <c r="P298" s="19"/>
    </row>
    <row r="299" spans="1:16" ht="12.75" hidden="1" x14ac:dyDescent="0.2">
      <c r="A299" s="309"/>
      <c r="B299" s="310"/>
      <c r="C299" s="310"/>
      <c r="D299" s="21"/>
      <c r="E299" s="21"/>
      <c r="F299" s="21"/>
      <c r="G299" s="12"/>
      <c r="H299" s="12"/>
      <c r="I299" s="13"/>
      <c r="J299" s="13"/>
      <c r="K299" s="14"/>
      <c r="L299" s="14"/>
      <c r="M299" s="14"/>
      <c r="N299" s="14"/>
      <c r="O299" s="14"/>
      <c r="P299" s="14"/>
    </row>
    <row r="300" spans="1:16" ht="19.5" x14ac:dyDescent="0.3">
      <c r="A300" s="311" t="s">
        <v>119</v>
      </c>
      <c r="B300" s="312"/>
      <c r="C300" s="312"/>
      <c r="D300" s="312"/>
      <c r="E300" s="313"/>
      <c r="F300" s="313"/>
      <c r="G300" s="313"/>
      <c r="H300" s="313"/>
      <c r="I300" s="314"/>
      <c r="J300" s="314"/>
      <c r="K300" s="315"/>
      <c r="L300" s="315"/>
      <c r="M300" s="315"/>
      <c r="N300" s="315"/>
      <c r="O300" s="315"/>
      <c r="P300" s="316"/>
    </row>
    <row r="301" spans="1:16" ht="19.5" x14ac:dyDescent="0.3">
      <c r="A301" s="317" t="s">
        <v>120</v>
      </c>
      <c r="B301" s="318"/>
      <c r="C301" s="318"/>
      <c r="D301" s="319"/>
      <c r="E301" s="319"/>
      <c r="F301" s="319"/>
      <c r="G301" s="320"/>
      <c r="H301" s="320"/>
      <c r="I301" s="321"/>
      <c r="J301" s="321"/>
      <c r="K301" s="322"/>
      <c r="L301" s="322"/>
      <c r="M301" s="322"/>
      <c r="N301" s="322"/>
      <c r="O301" s="322"/>
      <c r="P301" s="322"/>
    </row>
    <row r="302" spans="1:16" ht="19.5" x14ac:dyDescent="0.3">
      <c r="A302" s="323"/>
      <c r="B302" s="324" t="s">
        <v>121</v>
      </c>
      <c r="C302" s="325"/>
      <c r="D302" s="325"/>
      <c r="E302" s="325"/>
      <c r="F302" s="325"/>
      <c r="G302" s="326"/>
      <c r="H302" s="327" t="s">
        <v>33</v>
      </c>
      <c r="I302" s="328">
        <f ca="1">I314</f>
        <v>25</v>
      </c>
      <c r="J302" s="328">
        <f>J314</f>
        <v>25</v>
      </c>
      <c r="K302" s="329">
        <f ca="1">IF(I302&gt;0,J302*100/I302,0)</f>
        <v>100</v>
      </c>
      <c r="L302" s="330"/>
      <c r="M302" s="330"/>
      <c r="N302" s="330"/>
      <c r="O302" s="330"/>
      <c r="P302" s="330"/>
    </row>
    <row r="303" spans="1:16" ht="19.5" x14ac:dyDescent="0.3">
      <c r="A303" s="136"/>
      <c r="B303" s="41"/>
      <c r="C303" s="197" t="s">
        <v>16</v>
      </c>
      <c r="D303" s="397" t="s">
        <v>17</v>
      </c>
      <c r="E303" s="41"/>
      <c r="F303" s="41"/>
      <c r="G303" s="43"/>
      <c r="H303" s="139" t="s">
        <v>12</v>
      </c>
      <c r="I303" s="45"/>
      <c r="J303" s="45"/>
      <c r="K303" s="46"/>
      <c r="L303" s="140">
        <f ca="1">L304+L305</f>
        <v>152100</v>
      </c>
      <c r="M303" s="140">
        <f ca="1">M304+M305</f>
        <v>115000</v>
      </c>
      <c r="N303" s="140">
        <f ca="1">N304+N305</f>
        <v>69012</v>
      </c>
      <c r="O303" s="140">
        <f ca="1">IF(L303&gt;0,N303*100/L303,0)</f>
        <v>45.372781065088759</v>
      </c>
      <c r="P303" s="140">
        <f ca="1">IF(M303&gt;0,N303*100/M303,0)</f>
        <v>60.010434782608698</v>
      </c>
    </row>
    <row r="304" spans="1:16" ht="18.75" hidden="1" x14ac:dyDescent="0.25">
      <c r="A304" s="136"/>
      <c r="B304" s="41"/>
      <c r="C304" s="41"/>
      <c r="D304" s="41"/>
      <c r="E304" s="279" t="s">
        <v>18</v>
      </c>
      <c r="F304" s="41"/>
      <c r="G304" s="43"/>
      <c r="H304" s="141" t="s">
        <v>12</v>
      </c>
      <c r="I304" s="45"/>
      <c r="J304" s="45"/>
      <c r="K304" s="46"/>
      <c r="L304" s="50">
        <f>L307+L310</f>
        <v>0</v>
      </c>
      <c r="M304" s="50">
        <f>M307+M310</f>
        <v>0</v>
      </c>
      <c r="N304" s="50">
        <f>N307+N310</f>
        <v>0</v>
      </c>
      <c r="O304" s="50">
        <f>IF(L304&gt;0,N304*100/L304,0)</f>
        <v>0</v>
      </c>
      <c r="P304" s="50">
        <f>IF(M304&gt;0,N304*100/M304,0)</f>
        <v>0</v>
      </c>
    </row>
    <row r="305" spans="1:16" ht="18.75" x14ac:dyDescent="0.25">
      <c r="A305" s="136"/>
      <c r="B305" s="41"/>
      <c r="C305" s="41"/>
      <c r="D305" s="41"/>
      <c r="E305" s="254" t="s">
        <v>19</v>
      </c>
      <c r="F305" s="41"/>
      <c r="G305" s="43"/>
      <c r="H305" s="142" t="s">
        <v>12</v>
      </c>
      <c r="I305" s="45"/>
      <c r="J305" s="45"/>
      <c r="K305" s="46"/>
      <c r="L305" s="47">
        <f ca="1">L308+L311</f>
        <v>152100</v>
      </c>
      <c r="M305" s="47">
        <f ca="1">M308+M311</f>
        <v>115000</v>
      </c>
      <c r="N305" s="47">
        <f ca="1">N308+N311</f>
        <v>69012</v>
      </c>
      <c r="O305" s="47">
        <f ca="1">IF(L305&gt;0,N305*100/L305,0)</f>
        <v>45.372781065088759</v>
      </c>
      <c r="P305" s="47">
        <f ca="1">IF(M305&gt;0,N305*100/M305,0)</f>
        <v>60.010434782608698</v>
      </c>
    </row>
    <row r="306" spans="1:16" ht="18.75" x14ac:dyDescent="0.25">
      <c r="A306" s="136"/>
      <c r="B306" s="41"/>
      <c r="C306" s="41"/>
      <c r="D306" s="42" t="s">
        <v>20</v>
      </c>
      <c r="E306" s="41"/>
      <c r="F306" s="41"/>
      <c r="G306" s="43"/>
      <c r="H306" s="143" t="s">
        <v>12</v>
      </c>
      <c r="I306" s="144"/>
      <c r="J306" s="144"/>
      <c r="K306" s="145"/>
      <c r="L306" s="47">
        <f ca="1">L307+L308</f>
        <v>152100</v>
      </c>
      <c r="M306" s="47">
        <f ca="1">M307+M308</f>
        <v>115000</v>
      </c>
      <c r="N306" s="47">
        <f ca="1">N307+N308</f>
        <v>69012</v>
      </c>
      <c r="O306" s="47">
        <f ca="1">IF(L306&gt;0,N306*100/L306,0)</f>
        <v>45.372781065088759</v>
      </c>
      <c r="P306" s="47">
        <f ca="1">IF(M306&gt;0,N306*100/M306,0)</f>
        <v>60.010434782608698</v>
      </c>
    </row>
    <row r="307" spans="1:16" ht="18.75" hidden="1" x14ac:dyDescent="0.25">
      <c r="A307" s="136"/>
      <c r="B307" s="41"/>
      <c r="C307" s="41"/>
      <c r="D307" s="41"/>
      <c r="E307" s="279" t="s">
        <v>34</v>
      </c>
      <c r="F307" s="41"/>
      <c r="G307" s="43"/>
      <c r="H307" s="146" t="s">
        <v>12</v>
      </c>
      <c r="I307" s="144"/>
      <c r="J307" s="144"/>
      <c r="K307" s="145"/>
      <c r="L307" s="50">
        <v>0</v>
      </c>
      <c r="M307" s="50">
        <v>0</v>
      </c>
      <c r="N307" s="50">
        <v>0</v>
      </c>
      <c r="O307" s="50">
        <f>IF(L307&gt;0,N307*100/L307,0)</f>
        <v>0</v>
      </c>
      <c r="P307" s="50">
        <f>IF(M307&gt;0,N307*100/M307,0)</f>
        <v>0</v>
      </c>
    </row>
    <row r="308" spans="1:16" ht="18.75" x14ac:dyDescent="0.25">
      <c r="A308" s="136"/>
      <c r="B308" s="41"/>
      <c r="C308" s="41"/>
      <c r="D308" s="41"/>
      <c r="E308" s="254" t="s">
        <v>35</v>
      </c>
      <c r="F308" s="41"/>
      <c r="G308" s="43"/>
      <c r="H308" s="143" t="s">
        <v>12</v>
      </c>
      <c r="I308" s="144"/>
      <c r="J308" s="144"/>
      <c r="K308" s="145"/>
      <c r="L308" s="47">
        <f ca="1">IFERROR(__xludf.DUMMYFUNCTION("IMPORTRANGE(""https://docs.google.com/spreadsheets/d/1-uDff_7J0KD5mKrp0Vvzr7lt3OU09vwQwhkpOPPYv2Y/edit?usp=sharing"",""งบพรบ!DY23"")"),152100)</f>
        <v>152100</v>
      </c>
      <c r="M308" s="47">
        <f ca="1">IFERROR(__xludf.DUMMYFUNCTION("IMPORTRANGE(""https://docs.google.com/spreadsheets/d/1-uDff_7J0KD5mKrp0Vvzr7lt3OU09vwQwhkpOPPYv2Y/edit?usp=sharing"",""งบพรบ!ED23"")"),115000)</f>
        <v>115000</v>
      </c>
      <c r="N308" s="47">
        <f ca="1">IFERROR(__xludf.DUMMYFUNCTION("IMPORTRANGE(""https://docs.google.com/spreadsheets/d/1-uDff_7J0KD5mKrp0Vvzr7lt3OU09vwQwhkpOPPYv2Y/edit?usp=sharing"",""งบพรบ!EF23"")"),69012)</f>
        <v>69012</v>
      </c>
      <c r="O308" s="47">
        <f ca="1">IF(L308&gt;0,N308*100/L308,0)</f>
        <v>45.372781065088759</v>
      </c>
      <c r="P308" s="47">
        <f ca="1">IF(M308&gt;0,N308*100/M308,0)</f>
        <v>60.010434782608698</v>
      </c>
    </row>
    <row r="309" spans="1:16" ht="18.75" x14ac:dyDescent="0.25">
      <c r="A309" s="136"/>
      <c r="B309" s="41"/>
      <c r="C309" s="41"/>
      <c r="D309" s="42" t="s">
        <v>21</v>
      </c>
      <c r="E309" s="41"/>
      <c r="F309" s="41"/>
      <c r="G309" s="43"/>
      <c r="H309" s="147" t="s">
        <v>12</v>
      </c>
      <c r="I309" s="144"/>
      <c r="J309" s="144"/>
      <c r="K309" s="145"/>
      <c r="L309" s="47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</row>
    <row r="310" spans="1:16" ht="18.75" hidden="1" x14ac:dyDescent="0.25">
      <c r="A310" s="136"/>
      <c r="B310" s="41"/>
      <c r="C310" s="41"/>
      <c r="D310" s="41"/>
      <c r="E310" s="279" t="s">
        <v>18</v>
      </c>
      <c r="F310" s="41"/>
      <c r="G310" s="43"/>
      <c r="H310" s="146" t="s">
        <v>12</v>
      </c>
      <c r="I310" s="144"/>
      <c r="J310" s="144"/>
      <c r="K310" s="145"/>
      <c r="L310" s="50">
        <v>0</v>
      </c>
      <c r="M310" s="50">
        <v>0</v>
      </c>
      <c r="N310" s="50">
        <v>0</v>
      </c>
      <c r="O310" s="50">
        <f>IF(L310&gt;0,N310*100/L310,0)</f>
        <v>0</v>
      </c>
      <c r="P310" s="50">
        <f>IF(M310&gt;0,N310*100/M310,0)</f>
        <v>0</v>
      </c>
    </row>
    <row r="311" spans="1:16" ht="18.75" x14ac:dyDescent="0.25">
      <c r="A311" s="136"/>
      <c r="B311" s="41"/>
      <c r="C311" s="41"/>
      <c r="D311" s="41"/>
      <c r="E311" s="254" t="s">
        <v>19</v>
      </c>
      <c r="F311" s="41"/>
      <c r="G311" s="43"/>
      <c r="H311" s="147" t="s">
        <v>12</v>
      </c>
      <c r="I311" s="144"/>
      <c r="J311" s="144"/>
      <c r="K311" s="145"/>
      <c r="L311" s="47">
        <f ca="1">IFERROR(__xludf.DUMMYFUNCTION("IMPORTRANGE(""https://docs.google.com/spreadsheets/d/1-uDff_7J0KD5mKrp0Vvzr7lt3OU09vwQwhkpOPPYv2Y/edit?usp=sharing"",""งบพรบ!EB23"")"),0)</f>
        <v>0</v>
      </c>
      <c r="M311" s="47">
        <f ca="1">IFERROR(__xludf.DUMMYFUNCTION("IMPORTRANGE(""https://docs.google.com/spreadsheets/d/1-uDff_7J0KD5mKrp0Vvzr7lt3OU09vwQwhkpOPPYv2Y/edit?usp=sharing"",""งบพรบ!EE23"")"),0)</f>
        <v>0</v>
      </c>
      <c r="N311" s="47">
        <f ca="1">IFERROR(__xludf.DUMMYFUNCTION("IMPORTRANGE(""https://docs.google.com/spreadsheets/d/1-uDff_7J0KD5mKrp0Vvzr7lt3OU09vwQwhkpOPPYv2Y/edit?usp=sharing"",""งบพรบ!EG23"")"),0)</f>
        <v>0</v>
      </c>
      <c r="O311" s="47">
        <f ca="1">IF(L311&gt;0,N311*100/L311,0)</f>
        <v>0</v>
      </c>
      <c r="P311" s="47">
        <f ca="1">IF(M311&gt;0,N311*100/M311,0)</f>
        <v>0</v>
      </c>
    </row>
    <row r="312" spans="1:16" ht="19.5" x14ac:dyDescent="0.3">
      <c r="A312" s="148"/>
      <c r="B312" s="149"/>
      <c r="C312" s="197" t="s">
        <v>16</v>
      </c>
      <c r="D312" s="395" t="s">
        <v>36</v>
      </c>
      <c r="E312" s="151"/>
      <c r="F312" s="151"/>
      <c r="G312" s="152"/>
      <c r="H312" s="153"/>
      <c r="I312" s="45"/>
      <c r="J312" s="45"/>
      <c r="K312" s="46"/>
      <c r="L312" s="46"/>
      <c r="M312" s="46"/>
      <c r="N312" s="46"/>
      <c r="O312" s="46"/>
      <c r="P312" s="46"/>
    </row>
    <row r="313" spans="1:16" ht="18.75" x14ac:dyDescent="0.25">
      <c r="A313" s="148"/>
      <c r="B313" s="149"/>
      <c r="C313" s="149"/>
      <c r="D313" s="159" t="s">
        <v>122</v>
      </c>
      <c r="E313" s="155"/>
      <c r="F313" s="155"/>
      <c r="G313" s="153"/>
      <c r="H313" s="153"/>
      <c r="I313" s="45"/>
      <c r="J313" s="250">
        <v>1</v>
      </c>
      <c r="K313" s="46"/>
      <c r="L313" s="46"/>
      <c r="M313" s="46"/>
      <c r="N313" s="46"/>
      <c r="O313" s="46"/>
      <c r="P313" s="46"/>
    </row>
    <row r="314" spans="1:16" ht="18.75" x14ac:dyDescent="0.25">
      <c r="A314" s="148"/>
      <c r="B314" s="149"/>
      <c r="C314" s="149"/>
      <c r="D314" s="159" t="s">
        <v>115</v>
      </c>
      <c r="E314" s="155"/>
      <c r="F314" s="155"/>
      <c r="G314" s="153"/>
      <c r="H314" s="251" t="s">
        <v>33</v>
      </c>
      <c r="I314" s="169">
        <f ca="1">IFERROR(__xludf.DUMMYFUNCTION("IMPORTRANGE(""https://docs.google.com/spreadsheets/d/1eHaY18a8A9IcSdp1K8H6x8fbOy06t2VsZHhMHf-1x7Y/edit?usp=sharing"",""แผน!EF23"")"),25)</f>
        <v>25</v>
      </c>
      <c r="J314" s="250">
        <v>25</v>
      </c>
      <c r="K314" s="47">
        <f ca="1">IF(I314&gt;0,J314*100/I314,0)</f>
        <v>100</v>
      </c>
      <c r="L314" s="46"/>
      <c r="M314" s="46"/>
      <c r="N314" s="46"/>
      <c r="O314" s="46"/>
      <c r="P314" s="46"/>
    </row>
    <row r="315" spans="1:16" ht="18.75" x14ac:dyDescent="0.25">
      <c r="A315" s="148"/>
      <c r="B315" s="149"/>
      <c r="C315" s="149"/>
      <c r="D315" s="159" t="s">
        <v>123</v>
      </c>
      <c r="E315" s="155"/>
      <c r="F315" s="155"/>
      <c r="G315" s="153"/>
      <c r="H315" s="251" t="s">
        <v>33</v>
      </c>
      <c r="I315" s="169">
        <f ca="1">IFERROR(__xludf.DUMMYFUNCTION("IMPORTRANGE(""https://docs.google.com/spreadsheets/d/1eHaY18a8A9IcSdp1K8H6x8fbOy06t2VsZHhMHf-1x7Y/edit?usp=sharing"",""แผน!EG23"")"),5)</f>
        <v>5</v>
      </c>
      <c r="J315" s="250">
        <v>5</v>
      </c>
      <c r="K315" s="47">
        <f ca="1">IF(I315&gt;0,J315*100/I315,0)</f>
        <v>100</v>
      </c>
      <c r="L315" s="46"/>
      <c r="M315" s="46"/>
      <c r="N315" s="46"/>
      <c r="O315" s="46"/>
      <c r="P315" s="46"/>
    </row>
    <row r="316" spans="1:16" ht="18.75" x14ac:dyDescent="0.25">
      <c r="A316" s="148"/>
      <c r="B316" s="149"/>
      <c r="C316" s="149"/>
      <c r="D316" s="159" t="s">
        <v>48</v>
      </c>
      <c r="E316" s="155"/>
      <c r="F316" s="155"/>
      <c r="G316" s="153"/>
      <c r="H316" s="251" t="s">
        <v>33</v>
      </c>
      <c r="I316" s="169">
        <f ca="1">IFERROR(__xludf.DUMMYFUNCTION("IMPORTRANGE(""https://docs.google.com/spreadsheets/d/1eHaY18a8A9IcSdp1K8H6x8fbOy06t2VsZHhMHf-1x7Y/edit?usp=sharing"",""แผน!EH23"")"),25)</f>
        <v>25</v>
      </c>
      <c r="J316" s="250">
        <v>0</v>
      </c>
      <c r="K316" s="47">
        <f ca="1">IF(I316&gt;0,J316*100/I316,0)</f>
        <v>0</v>
      </c>
      <c r="L316" s="46"/>
      <c r="M316" s="46"/>
      <c r="N316" s="46"/>
      <c r="O316" s="46"/>
      <c r="P316" s="46"/>
    </row>
    <row r="317" spans="1:16" ht="18.75" hidden="1" x14ac:dyDescent="0.25">
      <c r="A317" s="227"/>
      <c r="B317" s="228"/>
      <c r="C317" s="228"/>
      <c r="D317" s="279" t="s">
        <v>124</v>
      </c>
      <c r="E317" s="41"/>
      <c r="F317" s="41"/>
      <c r="G317" s="43"/>
      <c r="H317" s="49" t="s">
        <v>33</v>
      </c>
      <c r="I317" s="200">
        <f ca="1">IFERROR(__xludf.DUMMYFUNCTION("IMPORTRANGE(""https://docs.google.com/spreadsheets/d/1eHaY18a8A9IcSdp1K8H6x8fbOy06t2VsZHhMHf-1x7Y/edit?usp=sharing"",""แผน!EI23"")"),5)</f>
        <v>5</v>
      </c>
      <c r="J317" s="200">
        <v>0</v>
      </c>
      <c r="K317" s="50">
        <f ca="1">IF(I317&gt;0,J317*100/I317,0)</f>
        <v>0</v>
      </c>
      <c r="L317" s="46"/>
      <c r="M317" s="46"/>
      <c r="N317" s="46"/>
      <c r="O317" s="46"/>
      <c r="P317" s="46"/>
    </row>
    <row r="318" spans="1:16" ht="19.5" hidden="1" x14ac:dyDescent="0.3">
      <c r="A318" s="317" t="s">
        <v>125</v>
      </c>
      <c r="B318" s="318"/>
      <c r="C318" s="318"/>
      <c r="D318" s="319"/>
      <c r="E318" s="318"/>
      <c r="F318" s="318"/>
      <c r="G318" s="318"/>
      <c r="H318" s="319"/>
      <c r="I318" s="321"/>
      <c r="J318" s="321"/>
      <c r="K318" s="322"/>
      <c r="L318" s="322"/>
      <c r="M318" s="322"/>
      <c r="N318" s="322"/>
      <c r="O318" s="322"/>
      <c r="P318" s="322"/>
    </row>
    <row r="319" spans="1:16" ht="19.5" hidden="1" x14ac:dyDescent="0.3">
      <c r="A319" s="331"/>
      <c r="B319" s="324" t="s">
        <v>126</v>
      </c>
      <c r="C319" s="332"/>
      <c r="D319" s="333"/>
      <c r="E319" s="325"/>
      <c r="F319" s="325"/>
      <c r="G319" s="326"/>
      <c r="H319" s="327" t="s">
        <v>127</v>
      </c>
      <c r="I319" s="328">
        <f ca="1">I330</f>
        <v>0</v>
      </c>
      <c r="J319" s="328">
        <f>J330</f>
        <v>0</v>
      </c>
      <c r="K319" s="329">
        <f ca="1">IF(I319&gt;0,J319*100/I319,0)</f>
        <v>0</v>
      </c>
      <c r="L319" s="330"/>
      <c r="M319" s="330"/>
      <c r="N319" s="330"/>
      <c r="O319" s="330"/>
      <c r="P319" s="330"/>
    </row>
    <row r="320" spans="1:16" ht="19.5" hidden="1" x14ac:dyDescent="0.3">
      <c r="A320" s="136"/>
      <c r="B320" s="41"/>
      <c r="C320" s="197" t="s">
        <v>16</v>
      </c>
      <c r="D320" s="397" t="s">
        <v>17</v>
      </c>
      <c r="E320" s="41"/>
      <c r="F320" s="41"/>
      <c r="G320" s="43"/>
      <c r="H320" s="139" t="s">
        <v>12</v>
      </c>
      <c r="I320" s="45"/>
      <c r="J320" s="45"/>
      <c r="K320" s="46"/>
      <c r="L320" s="140">
        <f ca="1">L321+L322</f>
        <v>0</v>
      </c>
      <c r="M320" s="140">
        <f ca="1">M321+M322</f>
        <v>0</v>
      </c>
      <c r="N320" s="140">
        <f ca="1">N321+N322</f>
        <v>0</v>
      </c>
      <c r="O320" s="140">
        <f ca="1">IF(L320&gt;0,N320*100/L320,0)</f>
        <v>0</v>
      </c>
      <c r="P320" s="140">
        <f ca="1">IF(M320&gt;0,N320*100/M320,0)</f>
        <v>0</v>
      </c>
    </row>
    <row r="321" spans="1:16" ht="18.75" hidden="1" x14ac:dyDescent="0.25">
      <c r="A321" s="136"/>
      <c r="B321" s="41"/>
      <c r="C321" s="41"/>
      <c r="D321" s="41"/>
      <c r="E321" s="279" t="s">
        <v>18</v>
      </c>
      <c r="F321" s="41"/>
      <c r="G321" s="43"/>
      <c r="H321" s="141" t="s">
        <v>12</v>
      </c>
      <c r="I321" s="45"/>
      <c r="J321" s="45"/>
      <c r="K321" s="46"/>
      <c r="L321" s="50">
        <f>L324+L327</f>
        <v>0</v>
      </c>
      <c r="M321" s="50">
        <f>M324+M327</f>
        <v>0</v>
      </c>
      <c r="N321" s="50">
        <f>N324+N327</f>
        <v>0</v>
      </c>
      <c r="O321" s="50">
        <f>IF(L321&gt;0,N321*100/L321,0)</f>
        <v>0</v>
      </c>
      <c r="P321" s="50">
        <f>IF(M321&gt;0,N321*100/M321,0)</f>
        <v>0</v>
      </c>
    </row>
    <row r="322" spans="1:16" ht="18.75" hidden="1" x14ac:dyDescent="0.25">
      <c r="A322" s="136"/>
      <c r="B322" s="41"/>
      <c r="C322" s="41"/>
      <c r="D322" s="41"/>
      <c r="E322" s="254" t="s">
        <v>19</v>
      </c>
      <c r="F322" s="41"/>
      <c r="G322" s="43"/>
      <c r="H322" s="142" t="s">
        <v>12</v>
      </c>
      <c r="I322" s="45"/>
      <c r="J322" s="45"/>
      <c r="K322" s="46"/>
      <c r="L322" s="47">
        <f ca="1">L325+L328</f>
        <v>0</v>
      </c>
      <c r="M322" s="47">
        <f ca="1">M325+M328</f>
        <v>0</v>
      </c>
      <c r="N322" s="47">
        <f ca="1">N325+N328</f>
        <v>0</v>
      </c>
      <c r="O322" s="47">
        <f ca="1">IF(L322&gt;0,N322*100/L322,0)</f>
        <v>0</v>
      </c>
      <c r="P322" s="47">
        <f ca="1">IF(M322&gt;0,N322*100/M322,0)</f>
        <v>0</v>
      </c>
    </row>
    <row r="323" spans="1:16" ht="18.75" hidden="1" x14ac:dyDescent="0.25">
      <c r="A323" s="136"/>
      <c r="B323" s="41"/>
      <c r="C323" s="41"/>
      <c r="D323" s="42" t="s">
        <v>20</v>
      </c>
      <c r="E323" s="41"/>
      <c r="F323" s="41"/>
      <c r="G323" s="43"/>
      <c r="H323" s="143" t="s">
        <v>12</v>
      </c>
      <c r="I323" s="144"/>
      <c r="J323" s="144"/>
      <c r="K323" s="145"/>
      <c r="L323" s="47">
        <f ca="1">L324+L325</f>
        <v>0</v>
      </c>
      <c r="M323" s="47">
        <f ca="1">M324+M325</f>
        <v>0</v>
      </c>
      <c r="N323" s="47">
        <f ca="1">N324+N325</f>
        <v>0</v>
      </c>
      <c r="O323" s="47">
        <f ca="1">IF(L323&gt;0,N323*100/L323,0)</f>
        <v>0</v>
      </c>
      <c r="P323" s="47">
        <f ca="1">IF(M323&gt;0,N323*100/M323,0)</f>
        <v>0</v>
      </c>
    </row>
    <row r="324" spans="1:16" ht="18.75" hidden="1" x14ac:dyDescent="0.25">
      <c r="A324" s="136"/>
      <c r="B324" s="41"/>
      <c r="C324" s="41"/>
      <c r="D324" s="41"/>
      <c r="E324" s="279" t="s">
        <v>34</v>
      </c>
      <c r="F324" s="41"/>
      <c r="G324" s="43"/>
      <c r="H324" s="146" t="s">
        <v>12</v>
      </c>
      <c r="I324" s="144"/>
      <c r="J324" s="144"/>
      <c r="K324" s="145"/>
      <c r="L324" s="50">
        <v>0</v>
      </c>
      <c r="M324" s="50">
        <v>0</v>
      </c>
      <c r="N324" s="50">
        <v>0</v>
      </c>
      <c r="O324" s="50">
        <f>IF(L324&gt;0,N324*100/L324,0)</f>
        <v>0</v>
      </c>
      <c r="P324" s="50">
        <f>IF(M324&gt;0,N324*100/M324,0)</f>
        <v>0</v>
      </c>
    </row>
    <row r="325" spans="1:16" ht="18.75" hidden="1" x14ac:dyDescent="0.25">
      <c r="A325" s="136"/>
      <c r="B325" s="41"/>
      <c r="C325" s="41"/>
      <c r="D325" s="41"/>
      <c r="E325" s="254" t="s">
        <v>35</v>
      </c>
      <c r="F325" s="41"/>
      <c r="G325" s="43"/>
      <c r="H325" s="143" t="s">
        <v>12</v>
      </c>
      <c r="I325" s="144"/>
      <c r="J325" s="144"/>
      <c r="K325" s="145"/>
      <c r="L325" s="47">
        <f ca="1">IFERROR(__xludf.DUMMYFUNCTION("IMPORTRANGE(""https://docs.google.com/spreadsheets/d/1-uDff_7J0KD5mKrp0Vvzr7lt3OU09vwQwhkpOPPYv2Y/edit?usp=sharing"",""งบพรบ!EI23"")"),0)</f>
        <v>0</v>
      </c>
      <c r="M325" s="47">
        <f ca="1">IFERROR(__xludf.DUMMYFUNCTION("IMPORTRANGE(""https://docs.google.com/spreadsheets/d/1-uDff_7J0KD5mKrp0Vvzr7lt3OU09vwQwhkpOPPYv2Y/edit?usp=sharing"",""งบพรบ!EN23"")"),0)</f>
        <v>0</v>
      </c>
      <c r="N325" s="47">
        <f ca="1">IFERROR(__xludf.DUMMYFUNCTION("IMPORTRANGE(""https://docs.google.com/spreadsheets/d/1-uDff_7J0KD5mKrp0Vvzr7lt3OU09vwQwhkpOPPYv2Y/edit?usp=sharing"",""งบพรบ!EP23"")"),0)</f>
        <v>0</v>
      </c>
      <c r="O325" s="47">
        <f ca="1">IF(L325&gt;0,N325*100/L325,0)</f>
        <v>0</v>
      </c>
      <c r="P325" s="47">
        <f ca="1">IF(M325&gt;0,N325*100/M325,0)</f>
        <v>0</v>
      </c>
    </row>
    <row r="326" spans="1:16" ht="18.75" hidden="1" x14ac:dyDescent="0.25">
      <c r="A326" s="136"/>
      <c r="B326" s="41"/>
      <c r="C326" s="41"/>
      <c r="D326" s="42" t="s">
        <v>21</v>
      </c>
      <c r="E326" s="41"/>
      <c r="F326" s="41"/>
      <c r="G326" s="43"/>
      <c r="H326" s="147" t="s">
        <v>12</v>
      </c>
      <c r="I326" s="144"/>
      <c r="J326" s="144"/>
      <c r="K326" s="145"/>
      <c r="L326" s="47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</row>
    <row r="327" spans="1:16" ht="18.75" hidden="1" x14ac:dyDescent="0.25">
      <c r="A327" s="136"/>
      <c r="B327" s="41"/>
      <c r="C327" s="41"/>
      <c r="D327" s="41"/>
      <c r="E327" s="279" t="s">
        <v>18</v>
      </c>
      <c r="F327" s="41"/>
      <c r="G327" s="43"/>
      <c r="H327" s="146" t="s">
        <v>12</v>
      </c>
      <c r="I327" s="144"/>
      <c r="J327" s="144"/>
      <c r="K327" s="145"/>
      <c r="L327" s="50">
        <v>0</v>
      </c>
      <c r="M327" s="50">
        <v>0</v>
      </c>
      <c r="N327" s="50">
        <v>0</v>
      </c>
      <c r="O327" s="50">
        <f>IF(L327&gt;0,N327*100/L327,0)</f>
        <v>0</v>
      </c>
      <c r="P327" s="50">
        <f>IF(M327&gt;0,N327*100/M327,0)</f>
        <v>0</v>
      </c>
    </row>
    <row r="328" spans="1:16" ht="18.75" hidden="1" x14ac:dyDescent="0.25">
      <c r="A328" s="136"/>
      <c r="B328" s="41"/>
      <c r="C328" s="41"/>
      <c r="D328" s="41"/>
      <c r="E328" s="254" t="s">
        <v>19</v>
      </c>
      <c r="F328" s="41"/>
      <c r="G328" s="43"/>
      <c r="H328" s="147" t="s">
        <v>12</v>
      </c>
      <c r="I328" s="144"/>
      <c r="J328" s="144"/>
      <c r="K328" s="145"/>
      <c r="L328" s="47">
        <f ca="1">IFERROR(__xludf.DUMMYFUNCTION("IMPORTRANGE(""https://docs.google.com/spreadsheets/d/1-uDff_7J0KD5mKrp0Vvzr7lt3OU09vwQwhkpOPPYv2Y/edit?usp=sharing"",""งบพรบ!EL23"")"),0)</f>
        <v>0</v>
      </c>
      <c r="M328" s="47">
        <f ca="1">IFERROR(__xludf.DUMMYFUNCTION("IMPORTRANGE(""https://docs.google.com/spreadsheets/d/1-uDff_7J0KD5mKrp0Vvzr7lt3OU09vwQwhkpOPPYv2Y/edit?usp=sharing"",""งบพรบ!EO23"")"),0)</f>
        <v>0</v>
      </c>
      <c r="N328" s="47">
        <f ca="1">IFERROR(__xludf.DUMMYFUNCTION("IMPORTRANGE(""https://docs.google.com/spreadsheets/d/1-uDff_7J0KD5mKrp0Vvzr7lt3OU09vwQwhkpOPPYv2Y/edit?usp=sharing"",""งบพรบ!EQ23"")"),0)</f>
        <v>0</v>
      </c>
      <c r="O328" s="47">
        <f ca="1">IF(L328&gt;0,N328*100/L328,0)</f>
        <v>0</v>
      </c>
      <c r="P328" s="47">
        <f ca="1">IF(M328&gt;0,N328*100/M328,0)</f>
        <v>0</v>
      </c>
    </row>
    <row r="329" spans="1:16" ht="19.5" hidden="1" x14ac:dyDescent="0.3">
      <c r="A329" s="148"/>
      <c r="B329" s="149"/>
      <c r="C329" s="197" t="s">
        <v>16</v>
      </c>
      <c r="D329" s="395" t="s">
        <v>36</v>
      </c>
      <c r="E329" s="151"/>
      <c r="F329" s="151"/>
      <c r="G329" s="152"/>
      <c r="H329" s="153"/>
      <c r="I329" s="144"/>
      <c r="J329" s="45"/>
      <c r="K329" s="46"/>
      <c r="L329" s="46"/>
      <c r="M329" s="46"/>
      <c r="N329" s="46"/>
      <c r="O329" s="145"/>
      <c r="P329" s="145"/>
    </row>
    <row r="330" spans="1:16" ht="18.75" hidden="1" x14ac:dyDescent="0.25">
      <c r="A330" s="148"/>
      <c r="B330" s="149"/>
      <c r="C330" s="149"/>
      <c r="D330" s="154" t="s">
        <v>128</v>
      </c>
      <c r="E330" s="155"/>
      <c r="F330" s="155"/>
      <c r="G330" s="153"/>
      <c r="H330" s="44" t="s">
        <v>127</v>
      </c>
      <c r="I330" s="169">
        <f ca="1">IFERROR(__xludf.DUMMYFUNCTION("IMPORTRANGE(""https://docs.google.com/spreadsheets/d/1eHaY18a8A9IcSdp1K8H6x8fbOy06t2VsZHhMHf-1x7Y/edit?usp=sharing"",""แผน!EJ23"")"),0)</f>
        <v>0</v>
      </c>
      <c r="J330" s="250">
        <v>0</v>
      </c>
      <c r="K330" s="47">
        <f ca="1">IF(I330&gt;0,J330*100/I330,0)</f>
        <v>0</v>
      </c>
      <c r="L330" s="46"/>
      <c r="M330" s="46"/>
      <c r="N330" s="46"/>
      <c r="O330" s="145"/>
      <c r="P330" s="145"/>
    </row>
    <row r="331" spans="1:16" ht="19.5" x14ac:dyDescent="0.3">
      <c r="A331" s="317" t="s">
        <v>129</v>
      </c>
      <c r="B331" s="318"/>
      <c r="C331" s="318"/>
      <c r="D331" s="319"/>
      <c r="E331" s="318"/>
      <c r="F331" s="318"/>
      <c r="G331" s="318"/>
      <c r="H331" s="319"/>
      <c r="I331" s="321"/>
      <c r="J331" s="321"/>
      <c r="K331" s="322"/>
      <c r="L331" s="322"/>
      <c r="M331" s="322"/>
      <c r="N331" s="322"/>
      <c r="O331" s="322"/>
      <c r="P331" s="322"/>
    </row>
    <row r="332" spans="1:16" ht="19.5" x14ac:dyDescent="0.3">
      <c r="A332" s="323"/>
      <c r="B332" s="324" t="s">
        <v>130</v>
      </c>
      <c r="C332" s="333"/>
      <c r="D332" s="325"/>
      <c r="E332" s="325"/>
      <c r="F332" s="325"/>
      <c r="G332" s="326"/>
      <c r="H332" s="327" t="s">
        <v>33</v>
      </c>
      <c r="I332" s="334">
        <f ca="1">I344</f>
        <v>5060</v>
      </c>
      <c r="J332" s="335">
        <f ca="1">J344+J347+J348+J349+J353</f>
        <v>2166</v>
      </c>
      <c r="K332" s="336">
        <f ca="1">IF(I332&gt;0,J332*100/I332,0)</f>
        <v>42.806324110671937</v>
      </c>
      <c r="L332" s="330"/>
      <c r="M332" s="330"/>
      <c r="N332" s="330"/>
      <c r="O332" s="330"/>
      <c r="P332" s="330"/>
    </row>
    <row r="333" spans="1:16" ht="19.5" x14ac:dyDescent="0.3">
      <c r="A333" s="136"/>
      <c r="B333" s="41"/>
      <c r="C333" s="197" t="s">
        <v>16</v>
      </c>
      <c r="D333" s="397" t="s">
        <v>17</v>
      </c>
      <c r="E333" s="41"/>
      <c r="F333" s="41"/>
      <c r="G333" s="43"/>
      <c r="H333" s="139" t="s">
        <v>12</v>
      </c>
      <c r="I333" s="45"/>
      <c r="J333" s="45"/>
      <c r="K333" s="46"/>
      <c r="L333" s="140">
        <f ca="1">L334+L335</f>
        <v>116000</v>
      </c>
      <c r="M333" s="140">
        <f ca="1">M334+M335</f>
        <v>90550</v>
      </c>
      <c r="N333" s="140">
        <f ca="1">N334+N335</f>
        <v>30700</v>
      </c>
      <c r="O333" s="140">
        <f ca="1">IF(L333&gt;0,N333*100/L333,0)</f>
        <v>26.46551724137931</v>
      </c>
      <c r="P333" s="140">
        <f ca="1">IF(M333&gt;0,N333*100/M333,0)</f>
        <v>33.903920485919379</v>
      </c>
    </row>
    <row r="334" spans="1:16" ht="18.75" hidden="1" x14ac:dyDescent="0.25">
      <c r="A334" s="136"/>
      <c r="B334" s="41"/>
      <c r="C334" s="41"/>
      <c r="D334" s="41"/>
      <c r="E334" s="279" t="s">
        <v>18</v>
      </c>
      <c r="F334" s="41"/>
      <c r="G334" s="43"/>
      <c r="H334" s="141" t="s">
        <v>12</v>
      </c>
      <c r="I334" s="45"/>
      <c r="J334" s="45"/>
      <c r="K334" s="46"/>
      <c r="L334" s="50">
        <f>L337+L340</f>
        <v>0</v>
      </c>
      <c r="M334" s="50">
        <f>M337+M340</f>
        <v>0</v>
      </c>
      <c r="N334" s="50">
        <f>N337+N340</f>
        <v>0</v>
      </c>
      <c r="O334" s="50">
        <f>IF(L334&gt;0,N334*100/L334,0)</f>
        <v>0</v>
      </c>
      <c r="P334" s="50">
        <f>IF(M334&gt;0,N334*100/M334,0)</f>
        <v>0</v>
      </c>
    </row>
    <row r="335" spans="1:16" ht="18.75" x14ac:dyDescent="0.25">
      <c r="A335" s="136"/>
      <c r="B335" s="41"/>
      <c r="C335" s="41"/>
      <c r="D335" s="41"/>
      <c r="E335" s="254" t="s">
        <v>19</v>
      </c>
      <c r="F335" s="41"/>
      <c r="G335" s="43"/>
      <c r="H335" s="142" t="s">
        <v>12</v>
      </c>
      <c r="I335" s="45"/>
      <c r="J335" s="45"/>
      <c r="K335" s="46"/>
      <c r="L335" s="47">
        <f ca="1">L338+L341</f>
        <v>116000</v>
      </c>
      <c r="M335" s="47">
        <f ca="1">M338+M341</f>
        <v>90550</v>
      </c>
      <c r="N335" s="47">
        <f ca="1">N338+N341</f>
        <v>30700</v>
      </c>
      <c r="O335" s="47">
        <f ca="1">IF(L335&gt;0,N335*100/L335,0)</f>
        <v>26.46551724137931</v>
      </c>
      <c r="P335" s="47">
        <f ca="1">IF(M335&gt;0,N335*100/M335,0)</f>
        <v>33.903920485919379</v>
      </c>
    </row>
    <row r="336" spans="1:16" ht="18.75" x14ac:dyDescent="0.25">
      <c r="A336" s="136"/>
      <c r="B336" s="41"/>
      <c r="C336" s="41"/>
      <c r="D336" s="42" t="s">
        <v>20</v>
      </c>
      <c r="E336" s="41"/>
      <c r="F336" s="41"/>
      <c r="G336" s="43"/>
      <c r="H336" s="143" t="s">
        <v>12</v>
      </c>
      <c r="I336" s="144"/>
      <c r="J336" s="144"/>
      <c r="K336" s="145"/>
      <c r="L336" s="47">
        <f ca="1">L337+L338</f>
        <v>116000</v>
      </c>
      <c r="M336" s="47">
        <f ca="1">M337+M338</f>
        <v>90550</v>
      </c>
      <c r="N336" s="47">
        <f ca="1">N337+N338</f>
        <v>30700</v>
      </c>
      <c r="O336" s="47">
        <f ca="1">IF(L336&gt;0,N336*100/L336,0)</f>
        <v>26.46551724137931</v>
      </c>
      <c r="P336" s="47">
        <f ca="1">IF(M336&gt;0,N336*100/M336,0)</f>
        <v>33.903920485919379</v>
      </c>
    </row>
    <row r="337" spans="1:16" ht="18.75" hidden="1" x14ac:dyDescent="0.25">
      <c r="A337" s="136"/>
      <c r="B337" s="41"/>
      <c r="C337" s="41"/>
      <c r="D337" s="41"/>
      <c r="E337" s="279" t="s">
        <v>34</v>
      </c>
      <c r="F337" s="41"/>
      <c r="G337" s="43"/>
      <c r="H337" s="146" t="s">
        <v>12</v>
      </c>
      <c r="I337" s="144"/>
      <c r="J337" s="144"/>
      <c r="K337" s="145"/>
      <c r="L337" s="50">
        <v>0</v>
      </c>
      <c r="M337" s="50">
        <v>0</v>
      </c>
      <c r="N337" s="50">
        <v>0</v>
      </c>
      <c r="O337" s="50">
        <f>IF(L337&gt;0,N337*100/L337,0)</f>
        <v>0</v>
      </c>
      <c r="P337" s="50">
        <f>IF(M337&gt;0,N337*100/M337,0)</f>
        <v>0</v>
      </c>
    </row>
    <row r="338" spans="1:16" ht="18.75" x14ac:dyDescent="0.25">
      <c r="A338" s="136"/>
      <c r="B338" s="41"/>
      <c r="C338" s="41"/>
      <c r="D338" s="41"/>
      <c r="E338" s="254" t="s">
        <v>35</v>
      </c>
      <c r="F338" s="41"/>
      <c r="G338" s="43"/>
      <c r="H338" s="143" t="s">
        <v>12</v>
      </c>
      <c r="I338" s="144"/>
      <c r="J338" s="144"/>
      <c r="K338" s="145"/>
      <c r="L338" s="47">
        <f ca="1">IFERROR(__xludf.DUMMYFUNCTION("IMPORTRANGE(""https://docs.google.com/spreadsheets/d/1-uDff_7J0KD5mKrp0Vvzr7lt3OU09vwQwhkpOPPYv2Y/edit?usp=sharing"",""งบพรบ!ES23"")"),116000)</f>
        <v>116000</v>
      </c>
      <c r="M338" s="47">
        <f ca="1">IFERROR(__xludf.DUMMYFUNCTION("IMPORTRANGE(""https://docs.google.com/spreadsheets/d/1-uDff_7J0KD5mKrp0Vvzr7lt3OU09vwQwhkpOPPYv2Y/edit?usp=sharing"",""งบพรบ!EX23"")"),90550)</f>
        <v>90550</v>
      </c>
      <c r="N338" s="47">
        <f ca="1">IFERROR(__xludf.DUMMYFUNCTION("IMPORTRANGE(""https://docs.google.com/spreadsheets/d/1-uDff_7J0KD5mKrp0Vvzr7lt3OU09vwQwhkpOPPYv2Y/edit?usp=sharing"",""งบพรบ!EZ23"")"),30700)</f>
        <v>30700</v>
      </c>
      <c r="O338" s="47">
        <f ca="1">IF(L338&gt;0,N338*100/L338,0)</f>
        <v>26.46551724137931</v>
      </c>
      <c r="P338" s="47">
        <f ca="1">IF(M338&gt;0,N338*100/M338,0)</f>
        <v>33.903920485919379</v>
      </c>
    </row>
    <row r="339" spans="1:16" ht="18.75" x14ac:dyDescent="0.25">
      <c r="A339" s="136"/>
      <c r="B339" s="41"/>
      <c r="C339" s="41"/>
      <c r="D339" s="42" t="s">
        <v>21</v>
      </c>
      <c r="E339" s="41"/>
      <c r="F339" s="41"/>
      <c r="G339" s="43"/>
      <c r="H339" s="147" t="s">
        <v>12</v>
      </c>
      <c r="I339" s="144"/>
      <c r="J339" s="144"/>
      <c r="K339" s="145"/>
      <c r="L339" s="47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</row>
    <row r="340" spans="1:16" ht="18.75" hidden="1" x14ac:dyDescent="0.25">
      <c r="A340" s="136"/>
      <c r="B340" s="41"/>
      <c r="C340" s="41"/>
      <c r="D340" s="41"/>
      <c r="E340" s="279" t="s">
        <v>18</v>
      </c>
      <c r="F340" s="41"/>
      <c r="G340" s="43"/>
      <c r="H340" s="146" t="s">
        <v>12</v>
      </c>
      <c r="I340" s="144"/>
      <c r="J340" s="144"/>
      <c r="K340" s="145"/>
      <c r="L340" s="50">
        <v>0</v>
      </c>
      <c r="M340" s="50">
        <v>0</v>
      </c>
      <c r="N340" s="50">
        <v>0</v>
      </c>
      <c r="O340" s="50">
        <f>IF(L340&gt;0,N340*100/L340,0)</f>
        <v>0</v>
      </c>
      <c r="P340" s="50">
        <f>IF(M340&gt;0,N340*100/M340,0)</f>
        <v>0</v>
      </c>
    </row>
    <row r="341" spans="1:16" ht="18.75" x14ac:dyDescent="0.25">
      <c r="A341" s="136"/>
      <c r="B341" s="41"/>
      <c r="C341" s="41"/>
      <c r="D341" s="41"/>
      <c r="E341" s="254" t="s">
        <v>19</v>
      </c>
      <c r="F341" s="41"/>
      <c r="G341" s="43"/>
      <c r="H341" s="147" t="s">
        <v>12</v>
      </c>
      <c r="I341" s="144"/>
      <c r="J341" s="144"/>
      <c r="K341" s="145"/>
      <c r="L341" s="47">
        <f ca="1">IFERROR(__xludf.DUMMYFUNCTION("IMPORTRANGE(""https://docs.google.com/spreadsheets/d/1-uDff_7J0KD5mKrp0Vvzr7lt3OU09vwQwhkpOPPYv2Y/edit?usp=sharing"",""งบพรบ!EV23"")"),0)</f>
        <v>0</v>
      </c>
      <c r="M341" s="47">
        <f ca="1">IFERROR(__xludf.DUMMYFUNCTION("IMPORTRANGE(""https://docs.google.com/spreadsheets/d/1-uDff_7J0KD5mKrp0Vvzr7lt3OU09vwQwhkpOPPYv2Y/edit?usp=sharing"",""งบพรบ!EY23"")"),0)</f>
        <v>0</v>
      </c>
      <c r="N341" s="47">
        <f ca="1">IFERROR(__xludf.DUMMYFUNCTION("IMPORTRANGE(""https://docs.google.com/spreadsheets/d/1-uDff_7J0KD5mKrp0Vvzr7lt3OU09vwQwhkpOPPYv2Y/edit?usp=sharing"",""งบพรบ!FA23"")"),0)</f>
        <v>0</v>
      </c>
      <c r="O341" s="47">
        <f ca="1">IF(L341&gt;0,N341*100/L341,0)</f>
        <v>0</v>
      </c>
      <c r="P341" s="47">
        <f ca="1">IF(M341&gt;0,N341*100/M341,0)</f>
        <v>0</v>
      </c>
    </row>
    <row r="342" spans="1:16" ht="19.5" x14ac:dyDescent="0.3">
      <c r="A342" s="148"/>
      <c r="B342" s="149"/>
      <c r="C342" s="197" t="s">
        <v>16</v>
      </c>
      <c r="D342" s="221" t="s">
        <v>36</v>
      </c>
      <c r="E342" s="151"/>
      <c r="F342" s="151"/>
      <c r="G342" s="152"/>
      <c r="H342" s="43"/>
      <c r="I342" s="45"/>
      <c r="J342" s="45"/>
      <c r="K342" s="46"/>
      <c r="L342" s="46"/>
      <c r="M342" s="46"/>
      <c r="N342" s="46"/>
      <c r="O342" s="145"/>
      <c r="P342" s="145"/>
    </row>
    <row r="343" spans="1:16" ht="19.5" x14ac:dyDescent="0.3">
      <c r="A343" s="337"/>
      <c r="B343" s="338"/>
      <c r="C343" s="339"/>
      <c r="D343" s="338"/>
      <c r="E343" s="398" t="s">
        <v>131</v>
      </c>
      <c r="F343" s="338"/>
      <c r="G343" s="341"/>
      <c r="H343" s="342" t="s">
        <v>33</v>
      </c>
      <c r="I343" s="343">
        <v>0</v>
      </c>
      <c r="J343" s="343">
        <f ca="1">J344+J347+J348+J349</f>
        <v>0</v>
      </c>
      <c r="K343" s="344">
        <v>0</v>
      </c>
      <c r="L343" s="345"/>
      <c r="M343" s="345"/>
      <c r="N343" s="345"/>
      <c r="O343" s="345"/>
      <c r="P343" s="345"/>
    </row>
    <row r="344" spans="1:16" ht="18.75" x14ac:dyDescent="0.25">
      <c r="A344" s="227"/>
      <c r="B344" s="41"/>
      <c r="C344" s="228"/>
      <c r="D344" s="155"/>
      <c r="E344" s="159" t="s">
        <v>132</v>
      </c>
      <c r="F344" s="41"/>
      <c r="G344" s="43"/>
      <c r="H344" s="230" t="s">
        <v>33</v>
      </c>
      <c r="I344" s="169">
        <f ca="1">IFERROR(__xludf.DUMMYFUNCTION("IMPORTRANGE(""https://docs.google.com/spreadsheets/d/1eHaY18a8A9IcSdp1K8H6x8fbOy06t2VsZHhMHf-1x7Y/edit?usp=sharing"",""แผน!EK23"")"),5060)</f>
        <v>5060</v>
      </c>
      <c r="J344" s="169">
        <f ca="1">IFERROR(__xludf.DUMMYFUNCTION("IMPORTRANGE(""https://docs.google.com/spreadsheets/d/1awYsYK3VOup2i3Pq_Yjnu8DRu_mYwSBnCR2QPthd0rU/edit?usp=sharing"",""ศูนย์ยกเว้นโฉนด!D23"")"),0)</f>
        <v>0</v>
      </c>
      <c r="K344" s="47">
        <f ca="1">IF(I344&gt;0,J344*100/I344,0)</f>
        <v>0</v>
      </c>
      <c r="L344" s="46"/>
      <c r="M344" s="46"/>
      <c r="N344" s="46"/>
      <c r="O344" s="46"/>
      <c r="P344" s="46"/>
    </row>
    <row r="345" spans="1:16" ht="18.75" x14ac:dyDescent="0.25">
      <c r="A345" s="227"/>
      <c r="B345" s="41"/>
      <c r="C345" s="228"/>
      <c r="D345" s="155"/>
      <c r="E345" s="159" t="s">
        <v>133</v>
      </c>
      <c r="F345" s="41"/>
      <c r="G345" s="43"/>
      <c r="H345" s="346"/>
      <c r="I345" s="45"/>
      <c r="J345" s="45"/>
      <c r="K345" s="46"/>
      <c r="L345" s="46"/>
      <c r="M345" s="46"/>
      <c r="N345" s="46"/>
      <c r="O345" s="46"/>
      <c r="P345" s="46"/>
    </row>
    <row r="346" spans="1:16" ht="18.75" x14ac:dyDescent="0.25">
      <c r="A346" s="227"/>
      <c r="B346" s="41"/>
      <c r="C346" s="228"/>
      <c r="D346" s="155"/>
      <c r="E346" s="155"/>
      <c r="F346" s="159" t="s">
        <v>134</v>
      </c>
      <c r="G346" s="43"/>
      <c r="H346" s="347" t="s">
        <v>135</v>
      </c>
      <c r="I346" s="169">
        <f ca="1">IFERROR(__xludf.DUMMYFUNCTION("IMPORTRANGE(""https://docs.google.com/spreadsheets/d/1eHaY18a8A9IcSdp1K8H6x8fbOy06t2VsZHhMHf-1x7Y/edit?usp=sharing"",""แผน!EL23"")"),5)</f>
        <v>5</v>
      </c>
      <c r="J346" s="169">
        <f ca="1">IFERROR(__xludf.DUMMYFUNCTION("IMPORTRANGE(""https://docs.google.com/spreadsheets/d/1awYsYK3VOup2i3Pq_Yjnu8DRu_mYwSBnCR2QPthd0rU/edit?usp=sharing"",""ศูนย์รวม!E23"")"),1)</f>
        <v>1</v>
      </c>
      <c r="K346" s="47">
        <f ca="1">IF(I346&gt;0,J346*100/I346,0)</f>
        <v>20</v>
      </c>
      <c r="L346" s="46"/>
      <c r="M346" s="46"/>
      <c r="N346" s="46"/>
      <c r="O346" s="46"/>
      <c r="P346" s="46"/>
    </row>
    <row r="347" spans="1:16" ht="18.75" x14ac:dyDescent="0.25">
      <c r="A347" s="227"/>
      <c r="B347" s="41"/>
      <c r="C347" s="228"/>
      <c r="D347" s="155"/>
      <c r="E347" s="155"/>
      <c r="F347" s="159" t="s">
        <v>136</v>
      </c>
      <c r="G347" s="43"/>
      <c r="H347" s="347" t="s">
        <v>33</v>
      </c>
      <c r="I347" s="45"/>
      <c r="J347" s="169">
        <f ca="1">IFERROR(__xludf.DUMMYFUNCTION("IMPORTRANGE(""https://docs.google.com/spreadsheets/d/1awYsYK3VOup2i3Pq_Yjnu8DRu_mYwSBnCR2QPthd0rU/edit?usp=sharing"",""ศูนย์ยกเว้นโฉนด!F23"")"),0)</f>
        <v>0</v>
      </c>
      <c r="K347" s="46"/>
      <c r="L347" s="46"/>
      <c r="M347" s="46"/>
      <c r="N347" s="46"/>
      <c r="O347" s="46"/>
      <c r="P347" s="46"/>
    </row>
    <row r="348" spans="1:16" ht="18.75" x14ac:dyDescent="0.25">
      <c r="A348" s="227"/>
      <c r="B348" s="41"/>
      <c r="C348" s="228"/>
      <c r="D348" s="155"/>
      <c r="E348" s="159" t="s">
        <v>137</v>
      </c>
      <c r="F348" s="155"/>
      <c r="G348" s="43"/>
      <c r="H348" s="347" t="s">
        <v>33</v>
      </c>
      <c r="I348" s="45"/>
      <c r="J348" s="169">
        <f ca="1">IFERROR(__xludf.DUMMYFUNCTION("IMPORTRANGE(""https://docs.google.com/spreadsheets/d/1awYsYK3VOup2i3Pq_Yjnu8DRu_mYwSBnCR2QPthd0rU/edit?usp=sharing"",""ศูนย์ยกเว้นโฉนด!G23"")"),0)</f>
        <v>0</v>
      </c>
      <c r="K348" s="46"/>
      <c r="L348" s="46"/>
      <c r="M348" s="46"/>
      <c r="N348" s="46"/>
      <c r="O348" s="46"/>
      <c r="P348" s="46"/>
    </row>
    <row r="349" spans="1:16" ht="18.75" x14ac:dyDescent="0.25">
      <c r="A349" s="227"/>
      <c r="B349" s="41"/>
      <c r="C349" s="228"/>
      <c r="D349" s="149"/>
      <c r="E349" s="159" t="s">
        <v>138</v>
      </c>
      <c r="F349" s="155"/>
      <c r="G349" s="43"/>
      <c r="H349" s="347" t="s">
        <v>33</v>
      </c>
      <c r="I349" s="45"/>
      <c r="J349" s="169">
        <f ca="1">IFERROR(__xludf.DUMMYFUNCTION("IMPORTRANGE(""https://docs.google.com/spreadsheets/d/1awYsYK3VOup2i3Pq_Yjnu8DRu_mYwSBnCR2QPthd0rU/edit?usp=sharing"",""ศูนย์ยกเว้นโฉนด!H23"")"),0)</f>
        <v>0</v>
      </c>
      <c r="K349" s="46"/>
      <c r="L349" s="46"/>
      <c r="M349" s="46"/>
      <c r="N349" s="46"/>
      <c r="O349" s="46"/>
      <c r="P349" s="46"/>
    </row>
    <row r="350" spans="1:16" ht="16.5" x14ac:dyDescent="0.25">
      <c r="A350" s="228"/>
      <c r="B350" s="41"/>
      <c r="C350" s="228"/>
      <c r="D350" s="34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1"/>
      <c r="F350" s="41"/>
      <c r="G350" s="43"/>
      <c r="H350" s="346"/>
      <c r="I350" s="45"/>
      <c r="J350" s="45"/>
      <c r="K350" s="46"/>
      <c r="L350" s="46"/>
      <c r="M350" s="46"/>
      <c r="N350" s="46"/>
      <c r="O350" s="46"/>
      <c r="P350" s="46"/>
    </row>
    <row r="351" spans="1:16" ht="19.5" x14ac:dyDescent="0.3">
      <c r="A351" s="233"/>
      <c r="B351" s="236"/>
      <c r="C351" s="234"/>
      <c r="D351" s="236"/>
      <c r="E351" s="396" t="s">
        <v>139</v>
      </c>
      <c r="F351" s="236"/>
      <c r="G351" s="237"/>
      <c r="H351" s="238" t="s">
        <v>33</v>
      </c>
      <c r="I351" s="239">
        <v>0</v>
      </c>
      <c r="J351" s="239">
        <f ca="1">J352+J353</f>
        <v>3002</v>
      </c>
      <c r="K351" s="240">
        <v>0</v>
      </c>
      <c r="L351" s="241"/>
      <c r="M351" s="241"/>
      <c r="N351" s="241"/>
      <c r="O351" s="241"/>
      <c r="P351" s="241"/>
    </row>
    <row r="352" spans="1:16" ht="18.75" x14ac:dyDescent="0.25">
      <c r="A352" s="228"/>
      <c r="B352" s="41"/>
      <c r="C352" s="228"/>
      <c r="D352" s="155"/>
      <c r="E352" s="159" t="s">
        <v>140</v>
      </c>
      <c r="F352" s="41"/>
      <c r="G352" s="43"/>
      <c r="H352" s="142" t="s">
        <v>33</v>
      </c>
      <c r="I352" s="45"/>
      <c r="J352" s="169">
        <f ca="1">IFERROR(__xludf.DUMMYFUNCTION("IMPORTRANGE(""https://docs.google.com/spreadsheets/d/1awYsYK3VOup2i3Pq_Yjnu8DRu_mYwSBnCR2QPthd0rU/edit?usp=sharing"",""โฉนดM3!G23"")"),836)</f>
        <v>836</v>
      </c>
      <c r="K352" s="46"/>
      <c r="L352" s="46"/>
      <c r="M352" s="46"/>
      <c r="N352" s="46"/>
      <c r="O352" s="46"/>
      <c r="P352" s="46"/>
    </row>
    <row r="353" spans="1:16" ht="18.75" x14ac:dyDescent="0.25">
      <c r="A353" s="228"/>
      <c r="B353" s="41"/>
      <c r="C353" s="228"/>
      <c r="D353" s="155"/>
      <c r="E353" s="159" t="s">
        <v>141</v>
      </c>
      <c r="F353" s="41"/>
      <c r="G353" s="43"/>
      <c r="H353" s="142" t="s">
        <v>33</v>
      </c>
      <c r="I353" s="45"/>
      <c r="J353" s="169">
        <f ca="1">IFERROR(__xludf.DUMMYFUNCTION("IMPORTRANGE(""https://docs.google.com/spreadsheets/d/1awYsYK3VOup2i3Pq_Yjnu8DRu_mYwSBnCR2QPthd0rU/edit?usp=sharing"",""โฉนดM3!H23"")"),2166)</f>
        <v>2166</v>
      </c>
      <c r="K353" s="46"/>
      <c r="L353" s="46"/>
      <c r="M353" s="46"/>
      <c r="N353" s="46"/>
      <c r="O353" s="46"/>
      <c r="P353" s="46"/>
    </row>
    <row r="354" spans="1:16" ht="16.5" x14ac:dyDescent="0.25">
      <c r="A354" s="228"/>
      <c r="B354" s="41"/>
      <c r="C354" s="228"/>
      <c r="D354" s="34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1"/>
      <c r="F354" s="41"/>
      <c r="G354" s="43"/>
      <c r="H354" s="346"/>
      <c r="I354" s="45"/>
      <c r="J354" s="45"/>
      <c r="K354" s="46"/>
      <c r="L354" s="46"/>
      <c r="M354" s="46"/>
      <c r="N354" s="46"/>
      <c r="O354" s="46"/>
      <c r="P354" s="46"/>
    </row>
    <row r="355" spans="1:16" ht="19.5" x14ac:dyDescent="0.3">
      <c r="A355" s="323"/>
      <c r="B355" s="324" t="s">
        <v>142</v>
      </c>
      <c r="C355" s="333"/>
      <c r="D355" s="325"/>
      <c r="E355" s="325"/>
      <c r="F355" s="325"/>
      <c r="G355" s="326"/>
      <c r="H355" s="326"/>
      <c r="I355" s="350"/>
      <c r="J355" s="350"/>
      <c r="K355" s="330"/>
      <c r="L355" s="330"/>
      <c r="M355" s="330"/>
      <c r="N355" s="330"/>
      <c r="O355" s="330"/>
      <c r="P355" s="330"/>
    </row>
    <row r="356" spans="1:16" ht="19.5" x14ac:dyDescent="0.3">
      <c r="A356" s="136"/>
      <c r="B356" s="41"/>
      <c r="C356" s="197" t="s">
        <v>16</v>
      </c>
      <c r="D356" s="397" t="s">
        <v>17</v>
      </c>
      <c r="E356" s="41"/>
      <c r="F356" s="41"/>
      <c r="G356" s="43"/>
      <c r="H356" s="139" t="s">
        <v>12</v>
      </c>
      <c r="I356" s="45"/>
      <c r="J356" s="45"/>
      <c r="K356" s="46"/>
      <c r="L356" s="140">
        <f ca="1">L357+L358</f>
        <v>1188345</v>
      </c>
      <c r="M356" s="140">
        <f ca="1">M357+M358</f>
        <v>1098345</v>
      </c>
      <c r="N356" s="140">
        <f ca="1">N357+N358</f>
        <v>173255</v>
      </c>
      <c r="O356" s="140">
        <f ca="1">IF(L356&gt;0,N356*100/L356,0)</f>
        <v>14.579520257164376</v>
      </c>
      <c r="P356" s="140">
        <f ca="1">IF(M356&gt;0,N356*100/M356,0)</f>
        <v>15.774187527598341</v>
      </c>
    </row>
    <row r="357" spans="1:16" ht="18.75" hidden="1" x14ac:dyDescent="0.25">
      <c r="A357" s="136"/>
      <c r="B357" s="41"/>
      <c r="C357" s="41"/>
      <c r="D357" s="41"/>
      <c r="E357" s="279" t="s">
        <v>18</v>
      </c>
      <c r="F357" s="41"/>
      <c r="G357" s="43"/>
      <c r="H357" s="141" t="s">
        <v>12</v>
      </c>
      <c r="I357" s="45"/>
      <c r="J357" s="45"/>
      <c r="K357" s="46"/>
      <c r="L357" s="50">
        <f>L360+L363</f>
        <v>0</v>
      </c>
      <c r="M357" s="50">
        <f>M360+M363</f>
        <v>0</v>
      </c>
      <c r="N357" s="50">
        <f>N360+N363</f>
        <v>0</v>
      </c>
      <c r="O357" s="50">
        <f>IF(L357&gt;0,N357*100/L357,0)</f>
        <v>0</v>
      </c>
      <c r="P357" s="50">
        <f>IF(M357&gt;0,N357*100/M357,0)</f>
        <v>0</v>
      </c>
    </row>
    <row r="358" spans="1:16" ht="18.75" x14ac:dyDescent="0.25">
      <c r="A358" s="136"/>
      <c r="B358" s="41"/>
      <c r="C358" s="41"/>
      <c r="D358" s="41"/>
      <c r="E358" s="254" t="s">
        <v>19</v>
      </c>
      <c r="F358" s="41"/>
      <c r="G358" s="43"/>
      <c r="H358" s="142" t="s">
        <v>12</v>
      </c>
      <c r="I358" s="45"/>
      <c r="J358" s="45"/>
      <c r="K358" s="46"/>
      <c r="L358" s="47">
        <f ca="1">L361+L364</f>
        <v>1188345</v>
      </c>
      <c r="M358" s="47">
        <f ca="1">M361+M364</f>
        <v>1098345</v>
      </c>
      <c r="N358" s="47">
        <f ca="1">N361+N364</f>
        <v>173255</v>
      </c>
      <c r="O358" s="47">
        <f ca="1">IF(L358&gt;0,N358*100/L358,0)</f>
        <v>14.579520257164376</v>
      </c>
      <c r="P358" s="47">
        <f ca="1">IF(M358&gt;0,N358*100/M358,0)</f>
        <v>15.774187527598341</v>
      </c>
    </row>
    <row r="359" spans="1:16" ht="18.75" x14ac:dyDescent="0.25">
      <c r="A359" s="136"/>
      <c r="B359" s="41"/>
      <c r="C359" s="41"/>
      <c r="D359" s="42" t="s">
        <v>20</v>
      </c>
      <c r="E359" s="41"/>
      <c r="F359" s="41"/>
      <c r="G359" s="43"/>
      <c r="H359" s="143" t="s">
        <v>12</v>
      </c>
      <c r="I359" s="144"/>
      <c r="J359" s="144"/>
      <c r="K359" s="145"/>
      <c r="L359" s="47">
        <f ca="1">L360+L361</f>
        <v>1188345</v>
      </c>
      <c r="M359" s="47">
        <f ca="1">M360+M361</f>
        <v>1098345</v>
      </c>
      <c r="N359" s="47">
        <f ca="1">N360+N361</f>
        <v>173255</v>
      </c>
      <c r="O359" s="47">
        <f ca="1">IF(L359&gt;0,N359*100/L359,0)</f>
        <v>14.579520257164376</v>
      </c>
      <c r="P359" s="47">
        <f ca="1">IF(M359&gt;0,N359*100/M359,0)</f>
        <v>15.774187527598341</v>
      </c>
    </row>
    <row r="360" spans="1:16" ht="18.75" hidden="1" x14ac:dyDescent="0.25">
      <c r="A360" s="136"/>
      <c r="B360" s="41"/>
      <c r="C360" s="41"/>
      <c r="D360" s="41"/>
      <c r="E360" s="279" t="s">
        <v>34</v>
      </c>
      <c r="F360" s="41"/>
      <c r="G360" s="43"/>
      <c r="H360" s="146" t="s">
        <v>12</v>
      </c>
      <c r="I360" s="144"/>
      <c r="J360" s="144"/>
      <c r="K360" s="145"/>
      <c r="L360" s="50">
        <v>0</v>
      </c>
      <c r="M360" s="50">
        <v>0</v>
      </c>
      <c r="N360" s="50">
        <v>0</v>
      </c>
      <c r="O360" s="50">
        <f>IF(L360&gt;0,N360*100/L360,0)</f>
        <v>0</v>
      </c>
      <c r="P360" s="50">
        <f>IF(M360&gt;0,N360*100/M360,0)</f>
        <v>0</v>
      </c>
    </row>
    <row r="361" spans="1:16" ht="18.75" x14ac:dyDescent="0.25">
      <c r="A361" s="136"/>
      <c r="B361" s="41"/>
      <c r="C361" s="41"/>
      <c r="D361" s="41"/>
      <c r="E361" s="254" t="s">
        <v>35</v>
      </c>
      <c r="F361" s="41"/>
      <c r="G361" s="43"/>
      <c r="H361" s="143" t="s">
        <v>12</v>
      </c>
      <c r="I361" s="144"/>
      <c r="J361" s="144"/>
      <c r="K361" s="145"/>
      <c r="L361" s="47">
        <f ca="1">IFERROR(__xludf.DUMMYFUNCTION("IMPORTRANGE(""https://docs.google.com/spreadsheets/d/1-uDff_7J0KD5mKrp0Vvzr7lt3OU09vwQwhkpOPPYv2Y/edit?usp=sharing"",""งบพรบ!FC23"")"),1188345)</f>
        <v>1188345</v>
      </c>
      <c r="M361" s="47">
        <f ca="1">IFERROR(__xludf.DUMMYFUNCTION("IMPORTRANGE(""https://docs.google.com/spreadsheets/d/1-uDff_7J0KD5mKrp0Vvzr7lt3OU09vwQwhkpOPPYv2Y/edit?usp=sharing"",""งบพรบ!FH23"")"),1098345)</f>
        <v>1098345</v>
      </c>
      <c r="N361" s="47">
        <f ca="1">IFERROR(__xludf.DUMMYFUNCTION("IMPORTRANGE(""https://docs.google.com/spreadsheets/d/1-uDff_7J0KD5mKrp0Vvzr7lt3OU09vwQwhkpOPPYv2Y/edit?usp=sharing"",""งบพรบ!FJ23"")"),173255)</f>
        <v>173255</v>
      </c>
      <c r="O361" s="47">
        <f ca="1">IF(L361&gt;0,N361*100/L361,0)</f>
        <v>14.579520257164376</v>
      </c>
      <c r="P361" s="47">
        <f ca="1">IF(M361&gt;0,N361*100/M361,0)</f>
        <v>15.774187527598341</v>
      </c>
    </row>
    <row r="362" spans="1:16" ht="18.75" x14ac:dyDescent="0.25">
      <c r="A362" s="136"/>
      <c r="B362" s="41"/>
      <c r="C362" s="41"/>
      <c r="D362" s="42" t="s">
        <v>21</v>
      </c>
      <c r="E362" s="41"/>
      <c r="F362" s="41"/>
      <c r="G362" s="43"/>
      <c r="H362" s="147" t="s">
        <v>12</v>
      </c>
      <c r="I362" s="144"/>
      <c r="J362" s="144"/>
      <c r="K362" s="145"/>
      <c r="L362" s="47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</row>
    <row r="363" spans="1:16" ht="18.75" hidden="1" x14ac:dyDescent="0.25">
      <c r="A363" s="136"/>
      <c r="B363" s="41"/>
      <c r="C363" s="41"/>
      <c r="D363" s="41"/>
      <c r="E363" s="279" t="s">
        <v>18</v>
      </c>
      <c r="F363" s="41"/>
      <c r="G363" s="43"/>
      <c r="H363" s="146" t="s">
        <v>12</v>
      </c>
      <c r="I363" s="144"/>
      <c r="J363" s="144"/>
      <c r="K363" s="145"/>
      <c r="L363" s="50">
        <v>0</v>
      </c>
      <c r="M363" s="50">
        <v>0</v>
      </c>
      <c r="N363" s="50">
        <v>0</v>
      </c>
      <c r="O363" s="50">
        <f>IF(L363&gt;0,N363*100/L363,0)</f>
        <v>0</v>
      </c>
      <c r="P363" s="50">
        <f>IF(M363&gt;0,N363*100/M363,0)</f>
        <v>0</v>
      </c>
    </row>
    <row r="364" spans="1:16" ht="18.75" x14ac:dyDescent="0.25">
      <c r="A364" s="136"/>
      <c r="B364" s="41"/>
      <c r="C364" s="41"/>
      <c r="D364" s="41"/>
      <c r="E364" s="254" t="s">
        <v>19</v>
      </c>
      <c r="F364" s="41"/>
      <c r="G364" s="43"/>
      <c r="H364" s="147" t="s">
        <v>12</v>
      </c>
      <c r="I364" s="144"/>
      <c r="J364" s="144"/>
      <c r="K364" s="145"/>
      <c r="L364" s="47">
        <f ca="1">IFERROR(__xludf.DUMMYFUNCTION("IMPORTRANGE(""https://docs.google.com/spreadsheets/d/1-uDff_7J0KD5mKrp0Vvzr7lt3OU09vwQwhkpOPPYv2Y/edit?usp=sharing"",""งบพรบ!FF23"")"),0)</f>
        <v>0</v>
      </c>
      <c r="M364" s="47">
        <f ca="1">IFERROR(__xludf.DUMMYFUNCTION("IMPORTRANGE(""https://docs.google.com/spreadsheets/d/1-uDff_7J0KD5mKrp0Vvzr7lt3OU09vwQwhkpOPPYv2Y/edit?usp=sharing"",""งบพรบ!FI23"")"),0)</f>
        <v>0</v>
      </c>
      <c r="N364" s="47">
        <f ca="1">IFERROR(__xludf.DUMMYFUNCTION("IMPORTRANGE(""https://docs.google.com/spreadsheets/d/1-uDff_7J0KD5mKrp0Vvzr7lt3OU09vwQwhkpOPPYv2Y/edit?usp=sharing"",""งบพรบ!FK23"")"),0)</f>
        <v>0</v>
      </c>
      <c r="O364" s="47">
        <f ca="1">IF(L364&gt;0,N364*100/L364,0)</f>
        <v>0</v>
      </c>
      <c r="P364" s="47">
        <f ca="1">IF(M364&gt;0,N364*100/M364,0)</f>
        <v>0</v>
      </c>
    </row>
    <row r="365" spans="1:16" ht="19.5" x14ac:dyDescent="0.3">
      <c r="A365" s="233"/>
      <c r="B365" s="234"/>
      <c r="C365" s="236"/>
      <c r="D365" s="396" t="s">
        <v>143</v>
      </c>
      <c r="E365" s="236"/>
      <c r="F365" s="236"/>
      <c r="G365" s="237"/>
      <c r="H365" s="245" t="s">
        <v>33</v>
      </c>
      <c r="I365" s="239">
        <f ca="1">I371</f>
        <v>1095</v>
      </c>
      <c r="J365" s="239">
        <f ca="1">J371</f>
        <v>44</v>
      </c>
      <c r="K365" s="240">
        <f ca="1">IF(I365&gt;0,J365*100/I365,0)</f>
        <v>4.0182648401826482</v>
      </c>
      <c r="L365" s="241"/>
      <c r="M365" s="241"/>
      <c r="N365" s="241"/>
      <c r="O365" s="241"/>
      <c r="P365" s="241"/>
    </row>
    <row r="366" spans="1:16" ht="19.5" x14ac:dyDescent="0.3">
      <c r="A366" s="148"/>
      <c r="B366" s="149"/>
      <c r="C366" s="197" t="s">
        <v>16</v>
      </c>
      <c r="D366" s="395" t="s">
        <v>36</v>
      </c>
      <c r="E366" s="151"/>
      <c r="F366" s="151"/>
      <c r="G366" s="152"/>
      <c r="H366" s="153"/>
      <c r="I366" s="45"/>
      <c r="J366" s="45"/>
      <c r="K366" s="46"/>
      <c r="L366" s="145"/>
      <c r="M366" s="145"/>
      <c r="N366" s="145"/>
      <c r="O366" s="145"/>
      <c r="P366" s="145"/>
    </row>
    <row r="367" spans="1:16" ht="18.75" x14ac:dyDescent="0.25">
      <c r="A367" s="148"/>
      <c r="B367" s="155"/>
      <c r="C367" s="149"/>
      <c r="D367" s="155"/>
      <c r="E367" s="154" t="s">
        <v>144</v>
      </c>
      <c r="F367" s="155"/>
      <c r="G367" s="153"/>
      <c r="H367" s="164" t="s">
        <v>33</v>
      </c>
      <c r="I367" s="169">
        <v>0</v>
      </c>
      <c r="J367" s="169">
        <f ca="1">IFERROR(__xludf.DUMMYFUNCTION("IMPORTRANGE(""https://docs.google.com/spreadsheets/d/1tdoBKaGub7dwA3U6UFTqxio9LNnvDCQjHKmttSEBsFQ/edit?usp=sharing"",""จัดที่ดิน!AB23"")"),1)</f>
        <v>1</v>
      </c>
      <c r="K367" s="47">
        <f>IF(I367&gt;0,J367*100/I367,0)</f>
        <v>0</v>
      </c>
      <c r="L367" s="145"/>
      <c r="M367" s="145"/>
      <c r="N367" s="145"/>
      <c r="O367" s="145"/>
      <c r="P367" s="145"/>
    </row>
    <row r="368" spans="1:16" ht="18.75" x14ac:dyDescent="0.25">
      <c r="A368" s="148"/>
      <c r="B368" s="155"/>
      <c r="C368" s="149"/>
      <c r="D368" s="155"/>
      <c r="E368" s="155"/>
      <c r="F368" s="155"/>
      <c r="G368" s="153"/>
      <c r="H368" s="164" t="s">
        <v>44</v>
      </c>
      <c r="I368" s="169">
        <f ca="1">IFERROR(__xludf.DUMMYFUNCTION("IMPORTRANGE(""https://docs.google.com/spreadsheets/d/1eHaY18a8A9IcSdp1K8H6x8fbOy06t2VsZHhMHf-1x7Y/edit?usp=sharing"",""แผน!EW23"")"),8200)</f>
        <v>8200</v>
      </c>
      <c r="J368" s="351">
        <f ca="1">IFERROR(__xludf.DUMMYFUNCTION("IMPORTRANGE(""https://docs.google.com/spreadsheets/d/1tdoBKaGub7dwA3U6UFTqxio9LNnvDCQjHKmttSEBsFQ/edit?usp=sharing"",""จัดที่ดิน!AC23"")"),8.39)</f>
        <v>8.39</v>
      </c>
      <c r="K368" s="47">
        <f ca="1">IF(I368&gt;0,J368*100/I368,0)</f>
        <v>0.1023170731707317</v>
      </c>
      <c r="L368" s="145"/>
      <c r="M368" s="145"/>
      <c r="N368" s="145"/>
      <c r="O368" s="145"/>
      <c r="P368" s="145"/>
    </row>
    <row r="369" spans="1:16" ht="18.75" x14ac:dyDescent="0.25">
      <c r="A369" s="148"/>
      <c r="B369" s="155"/>
      <c r="C369" s="149"/>
      <c r="D369" s="155"/>
      <c r="E369" s="154" t="s">
        <v>145</v>
      </c>
      <c r="F369" s="155"/>
      <c r="G369" s="153"/>
      <c r="H369" s="251" t="s">
        <v>33</v>
      </c>
      <c r="I369" s="169">
        <f ca="1">IFERROR(__xludf.DUMMYFUNCTION("IMPORTRANGE(""https://docs.google.com/spreadsheets/d/1eHaY18a8A9IcSdp1K8H6x8fbOy06t2VsZHhMHf-1x7Y/edit?usp=sharing"",""แผน!EX23"")"),1490)</f>
        <v>1490</v>
      </c>
      <c r="J369" s="169">
        <f ca="1">IFERROR(__xludf.DUMMYFUNCTION("IMPORTRANGE(""https://docs.google.com/spreadsheets/d/1tdoBKaGub7dwA3U6UFTqxio9LNnvDCQjHKmttSEBsFQ/edit?usp=sharing"",""จัดที่ดิน!AD23"")"),50)</f>
        <v>50</v>
      </c>
      <c r="K369" s="47">
        <f ca="1">IF(I369&gt;0,J369*100/I369,0)</f>
        <v>3.3557046979865772</v>
      </c>
      <c r="L369" s="145"/>
      <c r="M369" s="145"/>
      <c r="N369" s="145"/>
      <c r="O369" s="145"/>
      <c r="P369" s="145"/>
    </row>
    <row r="370" spans="1:16" ht="18.75" x14ac:dyDescent="0.25">
      <c r="A370" s="148"/>
      <c r="B370" s="155"/>
      <c r="C370" s="149"/>
      <c r="D370" s="155"/>
      <c r="E370" s="155"/>
      <c r="F370" s="155"/>
      <c r="G370" s="153"/>
      <c r="H370" s="251" t="s">
        <v>44</v>
      </c>
      <c r="I370" s="169">
        <v>0</v>
      </c>
      <c r="J370" s="351">
        <f ca="1">IFERROR(__xludf.DUMMYFUNCTION("IMPORTRANGE(""https://docs.google.com/spreadsheets/d/1tdoBKaGub7dwA3U6UFTqxio9LNnvDCQjHKmttSEBsFQ/edit?usp=sharing"",""จัดที่ดิน!AE23"")"),802.6)</f>
        <v>802.6</v>
      </c>
      <c r="K370" s="47">
        <f>IF(I370&gt;0,J370*100/I370,0)</f>
        <v>0</v>
      </c>
      <c r="L370" s="145"/>
      <c r="M370" s="145"/>
      <c r="N370" s="145"/>
      <c r="O370" s="145"/>
      <c r="P370" s="145"/>
    </row>
    <row r="371" spans="1:16" ht="18.75" x14ac:dyDescent="0.25">
      <c r="A371" s="148"/>
      <c r="B371" s="155"/>
      <c r="C371" s="149"/>
      <c r="D371" s="155"/>
      <c r="E371" s="154" t="s">
        <v>146</v>
      </c>
      <c r="F371" s="155"/>
      <c r="G371" s="153"/>
      <c r="H371" s="251" t="s">
        <v>33</v>
      </c>
      <c r="I371" s="169">
        <f ca="1">IFERROR(__xludf.DUMMYFUNCTION("IMPORTRANGE(""https://docs.google.com/spreadsheets/d/1eHaY18a8A9IcSdp1K8H6x8fbOy06t2VsZHhMHf-1x7Y/edit?usp=sharing"",""แผน!EY23"")"),1095)</f>
        <v>1095</v>
      </c>
      <c r="J371" s="169">
        <f ca="1">IFERROR(__xludf.DUMMYFUNCTION("IMPORTRANGE(""https://docs.google.com/spreadsheets/d/1tdoBKaGub7dwA3U6UFTqxio9LNnvDCQjHKmttSEBsFQ/edit?usp=sharing"",""จัดที่ดิน!AF23"")"),44)</f>
        <v>44</v>
      </c>
      <c r="K371" s="47">
        <f ca="1">IF(I371&gt;0,J371*100/I371,0)</f>
        <v>4.0182648401826482</v>
      </c>
      <c r="L371" s="145"/>
      <c r="M371" s="145"/>
      <c r="N371" s="145"/>
      <c r="O371" s="145"/>
      <c r="P371" s="145"/>
    </row>
    <row r="372" spans="1:16" ht="18.75" x14ac:dyDescent="0.25">
      <c r="A372" s="148"/>
      <c r="B372" s="155"/>
      <c r="C372" s="149"/>
      <c r="D372" s="155"/>
      <c r="E372" s="155"/>
      <c r="F372" s="155"/>
      <c r="G372" s="153"/>
      <c r="H372" s="251" t="s">
        <v>44</v>
      </c>
      <c r="I372" s="169">
        <v>0</v>
      </c>
      <c r="J372" s="351">
        <f ca="1">IFERROR(__xludf.DUMMYFUNCTION("IMPORTRANGE(""https://docs.google.com/spreadsheets/d/1tdoBKaGub7dwA3U6UFTqxio9LNnvDCQjHKmttSEBsFQ/edit?usp=sharing"",""จัดที่ดิน!AG23"")"),744.65)</f>
        <v>744.65</v>
      </c>
      <c r="K372" s="47">
        <f>IF(I372&gt;0,J372*100/I372,0)</f>
        <v>0</v>
      </c>
      <c r="L372" s="145"/>
      <c r="M372" s="145"/>
      <c r="N372" s="145"/>
      <c r="O372" s="145"/>
      <c r="P372" s="145"/>
    </row>
    <row r="373" spans="1:16" ht="16.5" x14ac:dyDescent="0.25">
      <c r="A373" s="2"/>
      <c r="B373" s="1"/>
      <c r="C373" s="2"/>
      <c r="D373" s="352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4"/>
      <c r="H373" s="54"/>
      <c r="I373" s="56"/>
      <c r="J373" s="56"/>
      <c r="K373" s="57"/>
      <c r="L373" s="57"/>
      <c r="M373" s="57"/>
      <c r="N373" s="57"/>
      <c r="O373" s="57"/>
      <c r="P373" s="57"/>
    </row>
    <row r="374" spans="1:16" ht="19.5" hidden="1" x14ac:dyDescent="0.3">
      <c r="A374" s="353" t="s">
        <v>147</v>
      </c>
      <c r="B374" s="354"/>
      <c r="C374" s="354"/>
      <c r="D374" s="354"/>
      <c r="E374" s="355"/>
      <c r="F374" s="355"/>
      <c r="G374" s="355"/>
      <c r="H374" s="355"/>
      <c r="I374" s="356"/>
      <c r="J374" s="356"/>
      <c r="K374" s="357"/>
      <c r="L374" s="357"/>
      <c r="M374" s="357"/>
      <c r="N374" s="357"/>
      <c r="O374" s="357"/>
      <c r="P374" s="358"/>
    </row>
    <row r="375" spans="1:16" ht="19.5" hidden="1" x14ac:dyDescent="0.3">
      <c r="A375" s="359" t="s">
        <v>148</v>
      </c>
      <c r="B375" s="360"/>
      <c r="C375" s="360"/>
      <c r="D375" s="361"/>
      <c r="E375" s="360"/>
      <c r="F375" s="360"/>
      <c r="G375" s="360"/>
      <c r="H375" s="362"/>
      <c r="I375" s="363"/>
      <c r="J375" s="363"/>
      <c r="K375" s="364"/>
      <c r="L375" s="364"/>
      <c r="M375" s="364"/>
      <c r="N375" s="364"/>
      <c r="O375" s="364"/>
      <c r="P375" s="364"/>
    </row>
    <row r="376" spans="1:16" ht="19.5" hidden="1" x14ac:dyDescent="0.3">
      <c r="A376" s="365"/>
      <c r="B376" s="366" t="s">
        <v>149</v>
      </c>
      <c r="C376" s="367"/>
      <c r="D376" s="368"/>
      <c r="E376" s="368"/>
      <c r="F376" s="368"/>
      <c r="G376" s="369"/>
      <c r="H376" s="370" t="s">
        <v>54</v>
      </c>
      <c r="I376" s="371">
        <f>I388</f>
        <v>0</v>
      </c>
      <c r="J376" s="371">
        <f>J388</f>
        <v>0</v>
      </c>
      <c r="K376" s="372">
        <f>IF(I376&gt;0,J376*100/I376,0)</f>
        <v>0</v>
      </c>
      <c r="L376" s="373"/>
      <c r="M376" s="373"/>
      <c r="N376" s="373"/>
      <c r="O376" s="373"/>
      <c r="P376" s="373"/>
    </row>
    <row r="377" spans="1:16" ht="19.5" hidden="1" x14ac:dyDescent="0.3">
      <c r="A377" s="136"/>
      <c r="B377" s="41"/>
      <c r="C377" s="260" t="s">
        <v>16</v>
      </c>
      <c r="D377" s="261" t="s">
        <v>17</v>
      </c>
      <c r="E377" s="41"/>
      <c r="F377" s="41"/>
      <c r="G377" s="43"/>
      <c r="H377" s="277" t="s">
        <v>12</v>
      </c>
      <c r="I377" s="45"/>
      <c r="J377" s="45"/>
      <c r="K377" s="46"/>
      <c r="L377" s="263">
        <f ca="1">L378+L379</f>
        <v>0</v>
      </c>
      <c r="M377" s="263">
        <f ca="1">M378+M379</f>
        <v>0</v>
      </c>
      <c r="N377" s="263">
        <f ca="1">N378+N379</f>
        <v>0</v>
      </c>
      <c r="O377" s="263">
        <f ca="1">IF(L377&gt;0,N377*100/L377,0)</f>
        <v>0</v>
      </c>
      <c r="P377" s="263">
        <f ca="1">IF(M377&gt;0,N377*100/M377,0)</f>
        <v>0</v>
      </c>
    </row>
    <row r="378" spans="1:16" ht="18.75" hidden="1" x14ac:dyDescent="0.25">
      <c r="A378" s="136"/>
      <c r="B378" s="41"/>
      <c r="C378" s="41"/>
      <c r="D378" s="41"/>
      <c r="E378" s="279" t="s">
        <v>18</v>
      </c>
      <c r="F378" s="41"/>
      <c r="G378" s="43"/>
      <c r="H378" s="141" t="s">
        <v>12</v>
      </c>
      <c r="I378" s="45"/>
      <c r="J378" s="45"/>
      <c r="K378" s="46"/>
      <c r="L378" s="50">
        <f>L381+L384</f>
        <v>0</v>
      </c>
      <c r="M378" s="50">
        <f>M381+M384</f>
        <v>0</v>
      </c>
      <c r="N378" s="50">
        <f>N381+N384</f>
        <v>0</v>
      </c>
      <c r="O378" s="50">
        <f>IF(L378&gt;0,N378*100/L378,0)</f>
        <v>0</v>
      </c>
      <c r="P378" s="50">
        <f>IF(M378&gt;0,N378*100/M378,0)</f>
        <v>0</v>
      </c>
    </row>
    <row r="379" spans="1:16" ht="18.75" hidden="1" x14ac:dyDescent="0.25">
      <c r="A379" s="136"/>
      <c r="B379" s="41"/>
      <c r="C379" s="41"/>
      <c r="D379" s="41"/>
      <c r="E379" s="279" t="s">
        <v>19</v>
      </c>
      <c r="F379" s="41"/>
      <c r="G379" s="43"/>
      <c r="H379" s="141" t="s">
        <v>12</v>
      </c>
      <c r="I379" s="45"/>
      <c r="J379" s="45"/>
      <c r="K379" s="46"/>
      <c r="L379" s="50">
        <f ca="1">L382+L385</f>
        <v>0</v>
      </c>
      <c r="M379" s="50">
        <f ca="1">M382+M385</f>
        <v>0</v>
      </c>
      <c r="N379" s="50">
        <f ca="1">N382+N385</f>
        <v>0</v>
      </c>
      <c r="O379" s="50">
        <f ca="1">IF(L379&gt;0,N379*100/L379,0)</f>
        <v>0</v>
      </c>
      <c r="P379" s="50">
        <f ca="1">IF(M379&gt;0,N379*100/M379,0)</f>
        <v>0</v>
      </c>
    </row>
    <row r="380" spans="1:16" ht="18.75" hidden="1" x14ac:dyDescent="0.25">
      <c r="A380" s="136"/>
      <c r="B380" s="41"/>
      <c r="C380" s="41"/>
      <c r="D380" s="278" t="s">
        <v>20</v>
      </c>
      <c r="E380" s="41"/>
      <c r="F380" s="41"/>
      <c r="G380" s="43"/>
      <c r="H380" s="146" t="s">
        <v>12</v>
      </c>
      <c r="I380" s="144"/>
      <c r="J380" s="144"/>
      <c r="K380" s="145"/>
      <c r="L380" s="50">
        <f ca="1">L381+L382</f>
        <v>0</v>
      </c>
      <c r="M380" s="50">
        <f ca="1">M381+M382</f>
        <v>0</v>
      </c>
      <c r="N380" s="50">
        <f ca="1">N381+N382</f>
        <v>0</v>
      </c>
      <c r="O380" s="50">
        <f ca="1">IF(L380&gt;0,N380*100/L380,0)</f>
        <v>0</v>
      </c>
      <c r="P380" s="50">
        <f ca="1">IF(M380&gt;0,N380*100/M380,0)</f>
        <v>0</v>
      </c>
    </row>
    <row r="381" spans="1:16" ht="18.75" hidden="1" x14ac:dyDescent="0.25">
      <c r="A381" s="136"/>
      <c r="B381" s="41"/>
      <c r="C381" s="41"/>
      <c r="D381" s="41"/>
      <c r="E381" s="279" t="s">
        <v>34</v>
      </c>
      <c r="F381" s="41"/>
      <c r="G381" s="43"/>
      <c r="H381" s="146" t="s">
        <v>12</v>
      </c>
      <c r="I381" s="144"/>
      <c r="J381" s="144"/>
      <c r="K381" s="145"/>
      <c r="L381" s="50">
        <v>0</v>
      </c>
      <c r="M381" s="50">
        <v>0</v>
      </c>
      <c r="N381" s="50">
        <v>0</v>
      </c>
      <c r="O381" s="50">
        <f>IF(L381&gt;0,N381*100/L381,0)</f>
        <v>0</v>
      </c>
      <c r="P381" s="50">
        <f>IF(M381&gt;0,N381*100/M381,0)</f>
        <v>0</v>
      </c>
    </row>
    <row r="382" spans="1:16" ht="18.75" hidden="1" x14ac:dyDescent="0.25">
      <c r="A382" s="136"/>
      <c r="B382" s="41"/>
      <c r="C382" s="41"/>
      <c r="D382" s="41"/>
      <c r="E382" s="279" t="s">
        <v>35</v>
      </c>
      <c r="F382" s="41"/>
      <c r="G382" s="43"/>
      <c r="H382" s="146" t="s">
        <v>12</v>
      </c>
      <c r="I382" s="144"/>
      <c r="J382" s="144"/>
      <c r="K382" s="145"/>
      <c r="L382" s="50">
        <f ca="1">IFERROR(__xludf.DUMMYFUNCTION("IMPORTRANGE(""https://docs.google.com/spreadsheets/d/1-uDff_7J0KD5mKrp0Vvzr7lt3OU09vwQwhkpOPPYv2Y/edit?usp=sharing"",""งบพรบ!FM23"")"),0)</f>
        <v>0</v>
      </c>
      <c r="M382" s="50">
        <f ca="1">IFERROR(__xludf.DUMMYFUNCTION("IMPORTRANGE(""https://docs.google.com/spreadsheets/d/1-uDff_7J0KD5mKrp0Vvzr7lt3OU09vwQwhkpOPPYv2Y/edit?usp=sharing"",""งบพรบ!FR23"")"),0)</f>
        <v>0</v>
      </c>
      <c r="N382" s="50">
        <f ca="1">IFERROR(__xludf.DUMMYFUNCTION("IMPORTRANGE(""https://docs.google.com/spreadsheets/d/1-uDff_7J0KD5mKrp0Vvzr7lt3OU09vwQwhkpOPPYv2Y/edit?usp=sharing"",""งบพรบ!FT23"")"),0)</f>
        <v>0</v>
      </c>
      <c r="O382" s="50">
        <f ca="1">IF(L382&gt;0,N382*100/L382,0)</f>
        <v>0</v>
      </c>
      <c r="P382" s="50">
        <f ca="1">IF(M382&gt;0,N382*100/M382,0)</f>
        <v>0</v>
      </c>
    </row>
    <row r="383" spans="1:16" ht="18.75" hidden="1" x14ac:dyDescent="0.25">
      <c r="A383" s="136"/>
      <c r="B383" s="41"/>
      <c r="C383" s="41"/>
      <c r="D383" s="278" t="s">
        <v>21</v>
      </c>
      <c r="E383" s="41"/>
      <c r="F383" s="41"/>
      <c r="G383" s="43"/>
      <c r="H383" s="199" t="s">
        <v>12</v>
      </c>
      <c r="I383" s="144"/>
      <c r="J383" s="144"/>
      <c r="K383" s="145"/>
      <c r="L383" s="50">
        <f ca="1">L384+L385</f>
        <v>0</v>
      </c>
      <c r="M383" s="50">
        <f ca="1">M384+M385</f>
        <v>0</v>
      </c>
      <c r="N383" s="50">
        <f ca="1">N384+N385</f>
        <v>0</v>
      </c>
      <c r="O383" s="50">
        <f ca="1">IF(L383&gt;0,N383*100/L383,0)</f>
        <v>0</v>
      </c>
      <c r="P383" s="50">
        <f ca="1">IF(M383&gt;0,N383*100/M383,0)</f>
        <v>0</v>
      </c>
    </row>
    <row r="384" spans="1:16" ht="18.75" hidden="1" x14ac:dyDescent="0.25">
      <c r="A384" s="136"/>
      <c r="B384" s="41"/>
      <c r="C384" s="41"/>
      <c r="D384" s="41"/>
      <c r="E384" s="279" t="s">
        <v>18</v>
      </c>
      <c r="F384" s="41"/>
      <c r="G384" s="43"/>
      <c r="H384" s="146" t="s">
        <v>12</v>
      </c>
      <c r="I384" s="144"/>
      <c r="J384" s="144"/>
      <c r="K384" s="145"/>
      <c r="L384" s="50">
        <v>0</v>
      </c>
      <c r="M384" s="50">
        <v>0</v>
      </c>
      <c r="N384" s="50">
        <v>0</v>
      </c>
      <c r="O384" s="50">
        <f>IF(L384&gt;0,N384*100/L384,0)</f>
        <v>0</v>
      </c>
      <c r="P384" s="50">
        <f>IF(M384&gt;0,N384*100/M384,0)</f>
        <v>0</v>
      </c>
    </row>
    <row r="385" spans="1:16" ht="18.75" hidden="1" x14ac:dyDescent="0.25">
      <c r="A385" s="136"/>
      <c r="B385" s="41"/>
      <c r="C385" s="41"/>
      <c r="D385" s="41"/>
      <c r="E385" s="279" t="s">
        <v>19</v>
      </c>
      <c r="F385" s="41"/>
      <c r="G385" s="43"/>
      <c r="H385" s="199" t="s">
        <v>12</v>
      </c>
      <c r="I385" s="144"/>
      <c r="J385" s="144"/>
      <c r="K385" s="145"/>
      <c r="L385" s="50">
        <f ca="1">IFERROR(__xludf.DUMMYFUNCTION("IMPORTRANGE(""https://docs.google.com/spreadsheets/d/1-uDff_7J0KD5mKrp0Vvzr7lt3OU09vwQwhkpOPPYv2Y/edit?usp=sharing"",""งบพรบ!FP23"")"),0)</f>
        <v>0</v>
      </c>
      <c r="M385" s="50">
        <f ca="1">IFERROR(__xludf.DUMMYFUNCTION("IMPORTRANGE(""https://docs.google.com/spreadsheets/d/1-uDff_7J0KD5mKrp0Vvzr7lt3OU09vwQwhkpOPPYv2Y/edit?usp=sharing"",""งบพรบ!FS23"")"),0)</f>
        <v>0</v>
      </c>
      <c r="N385" s="50">
        <f ca="1">IFERROR(__xludf.DUMMYFUNCTION("IMPORTRANGE(""https://docs.google.com/spreadsheets/d/1-uDff_7J0KD5mKrp0Vvzr7lt3OU09vwQwhkpOPPYv2Y/edit?usp=sharing"",""งบพรบ!FU23"")"),0)</f>
        <v>0</v>
      </c>
      <c r="O385" s="50">
        <f ca="1">IF(L385&gt;0,N385*100/L385,0)</f>
        <v>0</v>
      </c>
      <c r="P385" s="50">
        <f ca="1">IF(M385&gt;0,N385*100/M385,0)</f>
        <v>0</v>
      </c>
    </row>
    <row r="386" spans="1:16" ht="19.5" hidden="1" x14ac:dyDescent="0.3">
      <c r="A386" s="148"/>
      <c r="B386" s="149"/>
      <c r="C386" s="260" t="s">
        <v>16</v>
      </c>
      <c r="D386" s="394" t="s">
        <v>36</v>
      </c>
      <c r="E386" s="151"/>
      <c r="F386" s="151"/>
      <c r="G386" s="152"/>
      <c r="H386" s="153"/>
      <c r="I386" s="144"/>
      <c r="J386" s="45"/>
      <c r="K386" s="46"/>
      <c r="L386" s="46"/>
      <c r="M386" s="46"/>
      <c r="N386" s="46"/>
      <c r="O386" s="145"/>
      <c r="P386" s="145"/>
    </row>
    <row r="387" spans="1:16" ht="18.75" hidden="1" x14ac:dyDescent="0.25">
      <c r="A387" s="227"/>
      <c r="B387" s="41"/>
      <c r="C387" s="228"/>
      <c r="D387" s="267" t="s">
        <v>150</v>
      </c>
      <c r="E387" s="149"/>
      <c r="F387" s="41"/>
      <c r="G387" s="43"/>
      <c r="H387" s="232" t="s">
        <v>9</v>
      </c>
      <c r="I387" s="200">
        <v>0</v>
      </c>
      <c r="J387" s="201">
        <v>0</v>
      </c>
      <c r="K387" s="50">
        <f>IF(I387&gt;0,J387*100/I387,0)</f>
        <v>0</v>
      </c>
      <c r="L387" s="46"/>
      <c r="M387" s="46"/>
      <c r="N387" s="46"/>
      <c r="O387" s="46"/>
      <c r="P387" s="46"/>
    </row>
    <row r="388" spans="1:16" ht="18.75" hidden="1" x14ac:dyDescent="0.25">
      <c r="A388" s="374"/>
      <c r="B388" s="1"/>
      <c r="C388" s="2"/>
      <c r="D388" s="375" t="s">
        <v>151</v>
      </c>
      <c r="E388" s="281"/>
      <c r="F388" s="1"/>
      <c r="G388" s="54"/>
      <c r="H388" s="376" t="s">
        <v>54</v>
      </c>
      <c r="I388" s="205">
        <v>0</v>
      </c>
      <c r="J388" s="206">
        <v>0</v>
      </c>
      <c r="K388" s="207">
        <f>IF(I388&gt;0,J388*100/I388,0)</f>
        <v>0</v>
      </c>
      <c r="L388" s="57"/>
      <c r="M388" s="57"/>
      <c r="N388" s="57"/>
      <c r="O388" s="57"/>
      <c r="P388" s="57"/>
    </row>
    <row r="389" spans="1:16" ht="12.75" x14ac:dyDescent="0.2">
      <c r="A389" s="168"/>
      <c r="B389" s="168"/>
      <c r="C389" s="168"/>
      <c r="D389" s="168"/>
      <c r="E389" s="168"/>
      <c r="F389" s="168"/>
      <c r="G389" s="168"/>
      <c r="H389" s="168"/>
      <c r="I389" s="168"/>
      <c r="J389" s="168"/>
      <c r="K389" s="168"/>
      <c r="L389" s="168"/>
      <c r="M389" s="168"/>
      <c r="N389" s="168"/>
      <c r="O389" s="168"/>
      <c r="P389" s="168"/>
    </row>
    <row r="390" spans="1:16" ht="16.5" x14ac:dyDescent="0.25">
      <c r="A390" s="377" t="s">
        <v>152</v>
      </c>
      <c r="B390" s="168"/>
      <c r="C390" s="168"/>
      <c r="D390" s="168"/>
      <c r="E390" s="168"/>
      <c r="F390" s="168"/>
      <c r="G390" s="168"/>
      <c r="H390" s="168"/>
      <c r="I390" s="168"/>
      <c r="J390" s="168"/>
      <c r="K390" s="168"/>
      <c r="L390" s="168"/>
      <c r="M390" s="168"/>
      <c r="N390" s="168"/>
      <c r="O390" s="168"/>
      <c r="P390" s="168"/>
    </row>
    <row r="391" spans="1:16" ht="16.5" x14ac:dyDescent="0.25">
      <c r="A391" s="377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8"/>
      <c r="C391" s="168"/>
      <c r="D391" s="168"/>
      <c r="E391" s="168"/>
      <c r="F391" s="168"/>
      <c r="G391" s="168"/>
      <c r="H391" s="168"/>
      <c r="I391" s="168"/>
      <c r="J391" s="168"/>
      <c r="K391" s="168"/>
      <c r="L391" s="168"/>
      <c r="M391" s="168"/>
      <c r="N391" s="168"/>
      <c r="O391" s="168"/>
      <c r="P391" s="16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2" orientation="portrait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AA3C2-971E-4CCD-B8CC-DD87C232DBFD}">
  <sheetPr>
    <outlinePr summaryBelow="0" summaryRight="0"/>
  </sheetPr>
  <dimension ref="A1:P391"/>
  <sheetViews>
    <sheetView view="pageBreakPreview" zoomScale="60" zoomScaleNormal="68" workbookViewId="0">
      <pane xSplit="8" ySplit="6" topLeftCell="I7" activePane="bottomRight" state="frozen"/>
      <selection activeCell="P44" sqref="P44"/>
      <selection pane="topRight" activeCell="P44" sqref="P44"/>
      <selection pane="bottomLeft" activeCell="P44" sqref="P44"/>
      <selection pane="bottomRight" activeCell="P44" sqref="P4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3" width="21.5703125" bestFit="1" customWidth="1"/>
    <col min="14" max="14" width="19" bestFit="1" customWidth="1"/>
    <col min="15" max="15" width="17.5703125" customWidth="1"/>
    <col min="16" max="16" width="22.42578125" bestFit="1" customWidth="1"/>
  </cols>
  <sheetData>
    <row r="1" spans="1:16" ht="19.5" x14ac:dyDescent="0.3">
      <c r="A1" s="386" t="s">
        <v>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</row>
    <row r="2" spans="1:16" ht="19.5" x14ac:dyDescent="0.3">
      <c r="A2" s="386" t="s">
        <v>167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</row>
    <row r="3" spans="1:16" ht="19.5" x14ac:dyDescent="0.3">
      <c r="A3" s="386" t="s">
        <v>175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388" t="s">
        <v>2</v>
      </c>
      <c r="B5" s="387"/>
      <c r="C5" s="387"/>
      <c r="D5" s="387"/>
      <c r="E5" s="387"/>
      <c r="F5" s="387"/>
      <c r="G5" s="389"/>
      <c r="H5" s="4" t="s">
        <v>3</v>
      </c>
      <c r="I5" s="391" t="s">
        <v>4</v>
      </c>
      <c r="J5" s="379"/>
      <c r="K5" s="380"/>
      <c r="L5" s="392" t="s">
        <v>5</v>
      </c>
      <c r="M5" s="380"/>
      <c r="N5" s="393" t="s">
        <v>6</v>
      </c>
      <c r="O5" s="379"/>
      <c r="P5" s="380"/>
    </row>
    <row r="6" spans="1:16" ht="19.5" x14ac:dyDescent="0.3">
      <c r="A6" s="390"/>
      <c r="B6" s="379"/>
      <c r="C6" s="379"/>
      <c r="D6" s="379"/>
      <c r="E6" s="379"/>
      <c r="F6" s="379"/>
      <c r="G6" s="380"/>
      <c r="H6" s="5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466" t="s">
        <v>14</v>
      </c>
    </row>
    <row r="7" spans="1:16" ht="12.75" hidden="1" x14ac:dyDescent="0.2">
      <c r="A7" s="381"/>
      <c r="B7" s="379"/>
      <c r="C7" s="379"/>
      <c r="D7" s="379"/>
      <c r="E7" s="379"/>
      <c r="F7" s="379"/>
      <c r="G7" s="380"/>
      <c r="H7" s="12"/>
      <c r="I7" s="13"/>
      <c r="J7" s="13"/>
      <c r="K7" s="14"/>
      <c r="L7" s="14"/>
      <c r="M7" s="14"/>
      <c r="N7" s="14"/>
      <c r="O7" s="14"/>
      <c r="P7" s="14"/>
    </row>
    <row r="8" spans="1:16" ht="12.75" hidden="1" x14ac:dyDescent="0.2">
      <c r="A8" s="15"/>
      <c r="B8" s="16"/>
      <c r="C8" s="16"/>
      <c r="D8" s="16"/>
      <c r="E8" s="16"/>
      <c r="F8" s="16"/>
      <c r="G8" s="17"/>
      <c r="H8" s="17"/>
      <c r="I8" s="18"/>
      <c r="J8" s="18"/>
      <c r="K8" s="19"/>
      <c r="L8" s="19"/>
      <c r="M8" s="19"/>
      <c r="N8" s="19"/>
      <c r="O8" s="19"/>
      <c r="P8" s="19"/>
    </row>
    <row r="9" spans="1:16" ht="12.75" hidden="1" x14ac:dyDescent="0.2">
      <c r="A9" s="15"/>
      <c r="B9" s="16"/>
      <c r="C9" s="16"/>
      <c r="D9" s="16"/>
      <c r="E9" s="16"/>
      <c r="F9" s="16"/>
      <c r="G9" s="17"/>
      <c r="H9" s="17"/>
      <c r="I9" s="18"/>
      <c r="J9" s="18"/>
      <c r="K9" s="19"/>
      <c r="L9" s="19"/>
      <c r="M9" s="19"/>
      <c r="N9" s="19"/>
      <c r="O9" s="19"/>
      <c r="P9" s="19"/>
    </row>
    <row r="10" spans="1:16" ht="12.75" hidden="1" x14ac:dyDescent="0.2">
      <c r="A10" s="15"/>
      <c r="B10" s="16"/>
      <c r="C10" s="16"/>
      <c r="D10" s="16"/>
      <c r="E10" s="16"/>
      <c r="F10" s="16"/>
      <c r="G10" s="17"/>
      <c r="H10" s="17"/>
      <c r="I10" s="18"/>
      <c r="J10" s="18"/>
      <c r="K10" s="19"/>
      <c r="L10" s="19"/>
      <c r="M10" s="19"/>
      <c r="N10" s="19"/>
      <c r="O10" s="19"/>
      <c r="P10" s="19"/>
    </row>
    <row r="11" spans="1:16" ht="12.75" hidden="1" x14ac:dyDescent="0.2">
      <c r="A11" s="15"/>
      <c r="B11" s="16"/>
      <c r="C11" s="16"/>
      <c r="D11" s="16"/>
      <c r="E11" s="16"/>
      <c r="F11" s="16"/>
      <c r="G11" s="17"/>
      <c r="H11" s="17"/>
      <c r="I11" s="18"/>
      <c r="J11" s="18"/>
      <c r="K11" s="19"/>
      <c r="L11" s="19"/>
      <c r="M11" s="19"/>
      <c r="N11" s="19"/>
      <c r="O11" s="19"/>
      <c r="P11" s="19"/>
    </row>
    <row r="12" spans="1:16" ht="12.75" hidden="1" x14ac:dyDescent="0.2">
      <c r="A12" s="15"/>
      <c r="B12" s="16"/>
      <c r="C12" s="16"/>
      <c r="D12" s="16"/>
      <c r="E12" s="16"/>
      <c r="F12" s="16"/>
      <c r="G12" s="17"/>
      <c r="H12" s="17"/>
      <c r="I12" s="18"/>
      <c r="J12" s="18"/>
      <c r="K12" s="19"/>
      <c r="L12" s="19"/>
      <c r="M12" s="19"/>
      <c r="N12" s="19"/>
      <c r="O12" s="19"/>
      <c r="P12" s="19"/>
    </row>
    <row r="13" spans="1:16" ht="12.75" hidden="1" x14ac:dyDescent="0.2">
      <c r="A13" s="15"/>
      <c r="B13" s="16"/>
      <c r="C13" s="16"/>
      <c r="D13" s="16"/>
      <c r="E13" s="16"/>
      <c r="F13" s="16"/>
      <c r="G13" s="17"/>
      <c r="H13" s="17"/>
      <c r="I13" s="18"/>
      <c r="J13" s="18"/>
      <c r="K13" s="19"/>
      <c r="L13" s="19"/>
      <c r="M13" s="19"/>
      <c r="N13" s="19"/>
      <c r="O13" s="19"/>
      <c r="P13" s="19"/>
    </row>
    <row r="14" spans="1:16" ht="12.75" hidden="1" x14ac:dyDescent="0.2">
      <c r="A14" s="15"/>
      <c r="B14" s="16"/>
      <c r="C14" s="16"/>
      <c r="D14" s="16"/>
      <c r="E14" s="16"/>
      <c r="F14" s="16"/>
      <c r="G14" s="17"/>
      <c r="H14" s="17"/>
      <c r="I14" s="18"/>
      <c r="J14" s="18"/>
      <c r="K14" s="19"/>
      <c r="L14" s="19"/>
      <c r="M14" s="19"/>
      <c r="N14" s="19"/>
      <c r="O14" s="19"/>
      <c r="P14" s="19"/>
    </row>
    <row r="15" spans="1:16" ht="12.75" hidden="1" x14ac:dyDescent="0.2">
      <c r="A15" s="15"/>
      <c r="B15" s="16"/>
      <c r="C15" s="16"/>
      <c r="D15" s="16"/>
      <c r="E15" s="16"/>
      <c r="F15" s="16"/>
      <c r="G15" s="17"/>
      <c r="H15" s="17"/>
      <c r="I15" s="18"/>
      <c r="J15" s="18"/>
      <c r="K15" s="19"/>
      <c r="L15" s="19"/>
      <c r="M15" s="19"/>
      <c r="N15" s="19"/>
      <c r="O15" s="19"/>
      <c r="P15" s="19"/>
    </row>
    <row r="16" spans="1:16" ht="12.75" hidden="1" x14ac:dyDescent="0.2">
      <c r="A16" s="20"/>
      <c r="B16" s="21"/>
      <c r="C16" s="21"/>
      <c r="D16" s="21"/>
      <c r="E16" s="21"/>
      <c r="F16" s="21"/>
      <c r="G16" s="12"/>
      <c r="H16" s="12"/>
      <c r="I16" s="13"/>
      <c r="J16" s="13"/>
      <c r="K16" s="14"/>
      <c r="L16" s="14"/>
      <c r="M16" s="14"/>
      <c r="N16" s="14"/>
      <c r="O16" s="14"/>
      <c r="P16" s="14"/>
    </row>
    <row r="17" spans="1:16" ht="19.5" x14ac:dyDescent="0.3">
      <c r="A17" s="378" t="s">
        <v>15</v>
      </c>
      <c r="B17" s="379"/>
      <c r="C17" s="379"/>
      <c r="D17" s="379"/>
      <c r="E17" s="379"/>
      <c r="F17" s="379"/>
      <c r="G17" s="380"/>
      <c r="H17" s="22"/>
      <c r="I17" s="23"/>
      <c r="J17" s="23"/>
      <c r="K17" s="24"/>
      <c r="L17" s="24"/>
      <c r="M17" s="24"/>
      <c r="N17" s="24"/>
      <c r="O17" s="24"/>
      <c r="P17" s="24"/>
    </row>
    <row r="18" spans="1:16" ht="19.5" x14ac:dyDescent="0.3">
      <c r="A18" s="25"/>
      <c r="B18" s="26"/>
      <c r="C18" s="132" t="s">
        <v>16</v>
      </c>
      <c r="D18" s="28" t="s">
        <v>17</v>
      </c>
      <c r="E18" s="26"/>
      <c r="F18" s="26"/>
      <c r="G18" s="29"/>
      <c r="H18" s="30" t="s">
        <v>12</v>
      </c>
      <c r="I18" s="31"/>
      <c r="J18" s="31"/>
      <c r="K18" s="32"/>
      <c r="L18" s="33">
        <f ca="1">L19+L20</f>
        <v>1753895</v>
      </c>
      <c r="M18" s="33">
        <f ca="1">M19+M20</f>
        <v>1457955</v>
      </c>
      <c r="N18" s="33">
        <f ca="1">N19+N20</f>
        <v>417576.20999999996</v>
      </c>
      <c r="O18" s="33">
        <f ca="1">IF(L18&gt;0,N18*100/L18,0)</f>
        <v>23.808506780622558</v>
      </c>
      <c r="P18" s="33">
        <f ca="1">IF(M18&gt;0,N18*100/M18,0)</f>
        <v>28.641227609905656</v>
      </c>
    </row>
    <row r="19" spans="1:16" ht="18.75" hidden="1" x14ac:dyDescent="0.25">
      <c r="A19" s="25"/>
      <c r="B19" s="26"/>
      <c r="C19" s="26"/>
      <c r="D19" s="26"/>
      <c r="E19" s="34" t="s">
        <v>18</v>
      </c>
      <c r="F19" s="26"/>
      <c r="G19" s="29"/>
      <c r="H19" s="35" t="s">
        <v>12</v>
      </c>
      <c r="I19" s="31"/>
      <c r="J19" s="31"/>
      <c r="K19" s="32"/>
      <c r="L19" s="36">
        <f>L22+L25</f>
        <v>0</v>
      </c>
      <c r="M19" s="36">
        <f>M22+M25</f>
        <v>0</v>
      </c>
      <c r="N19" s="36">
        <f>N22+N25</f>
        <v>0</v>
      </c>
      <c r="O19" s="36">
        <f>IF(L19&gt;0,N19*100/L19,0)</f>
        <v>0</v>
      </c>
      <c r="P19" s="36">
        <f>IF(M19&gt;0,N19*100/M19,0)</f>
        <v>0</v>
      </c>
    </row>
    <row r="20" spans="1:16" ht="18.75" x14ac:dyDescent="0.25">
      <c r="A20" s="25"/>
      <c r="B20" s="26"/>
      <c r="C20" s="26"/>
      <c r="D20" s="26"/>
      <c r="E20" s="37" t="s">
        <v>19</v>
      </c>
      <c r="F20" s="26"/>
      <c r="G20" s="29"/>
      <c r="H20" s="38" t="s">
        <v>12</v>
      </c>
      <c r="I20" s="31"/>
      <c r="J20" s="31"/>
      <c r="K20" s="32"/>
      <c r="L20" s="39">
        <f ca="1">L23+L26</f>
        <v>1753895</v>
      </c>
      <c r="M20" s="39">
        <f ca="1">M23+M26</f>
        <v>1457955</v>
      </c>
      <c r="N20" s="39">
        <f ca="1">N23+N26</f>
        <v>417576.20999999996</v>
      </c>
      <c r="O20" s="39">
        <f ca="1">IF(L20&gt;0,N20*100/L20,0)</f>
        <v>23.808506780622558</v>
      </c>
      <c r="P20" s="39">
        <f ca="1">IF(M20&gt;0,N20*100/M20,0)</f>
        <v>28.641227609905656</v>
      </c>
    </row>
    <row r="21" spans="1:16" ht="18.75" x14ac:dyDescent="0.25">
      <c r="A21" s="40"/>
      <c r="B21" s="41"/>
      <c r="C21" s="41"/>
      <c r="D21" s="42" t="s">
        <v>20</v>
      </c>
      <c r="E21" s="41"/>
      <c r="F21" s="41"/>
      <c r="G21" s="43"/>
      <c r="H21" s="44" t="s">
        <v>12</v>
      </c>
      <c r="I21" s="45"/>
      <c r="J21" s="45"/>
      <c r="K21" s="46"/>
      <c r="L21" s="47">
        <f ca="1">L22+L23</f>
        <v>1753895</v>
      </c>
      <c r="M21" s="47">
        <f ca="1">M22+M23</f>
        <v>1457955</v>
      </c>
      <c r="N21" s="47">
        <f ca="1">N22+N23</f>
        <v>417576.20999999996</v>
      </c>
      <c r="O21" s="47">
        <f ca="1">IF(L21&gt;0,N21*100/L21,0)</f>
        <v>23.808506780622558</v>
      </c>
      <c r="P21" s="47">
        <f ca="1">IF(M21&gt;0,N21*100/M21,0)</f>
        <v>28.641227609905656</v>
      </c>
    </row>
    <row r="22" spans="1:16" ht="18.75" hidden="1" x14ac:dyDescent="0.25">
      <c r="A22" s="40"/>
      <c r="B22" s="41"/>
      <c r="C22" s="41"/>
      <c r="D22" s="41"/>
      <c r="E22" s="279" t="s">
        <v>18</v>
      </c>
      <c r="F22" s="41"/>
      <c r="G22" s="43"/>
      <c r="H22" s="49" t="s">
        <v>12</v>
      </c>
      <c r="I22" s="45"/>
      <c r="J22" s="45"/>
      <c r="K22" s="46"/>
      <c r="L22" s="50">
        <f>L48+L63+L76+L98+L129+L143+L161+L190+L177+L270+L286+L307+L324+L337+L360+L381</f>
        <v>0</v>
      </c>
      <c r="M22" s="50">
        <f>M48+M63+M76+M98+M129+M143+M161+M190+M177+M270+M286+M307+M324+M337+M360+M381</f>
        <v>0</v>
      </c>
      <c r="N22" s="50">
        <f>N48+N63+N76+N98+N129+N143+N161+N190+N177+N270+N286+N307+N324+N337+N360+N381</f>
        <v>0</v>
      </c>
      <c r="O22" s="50">
        <f>IF(L22&gt;0,N22*100/L22,0)</f>
        <v>0</v>
      </c>
      <c r="P22" s="50">
        <f>IF(M22&gt;0,N22*100/M22,0)</f>
        <v>0</v>
      </c>
    </row>
    <row r="23" spans="1:16" ht="18.75" x14ac:dyDescent="0.25">
      <c r="A23" s="40"/>
      <c r="B23" s="41"/>
      <c r="C23" s="41"/>
      <c r="D23" s="41"/>
      <c r="E23" s="254" t="s">
        <v>19</v>
      </c>
      <c r="F23" s="41"/>
      <c r="G23" s="43"/>
      <c r="H23" s="44" t="s">
        <v>12</v>
      </c>
      <c r="I23" s="45"/>
      <c r="J23" s="45"/>
      <c r="K23" s="46"/>
      <c r="L23" s="47">
        <f ca="1">L49+L64+L77+L99+L130+L144+L162+L191+L178+L271+L287+L308+L325+L338+L361+L382</f>
        <v>1753895</v>
      </c>
      <c r="M23" s="47">
        <f ca="1">M49+M64+M77+M99+M130+M144+M162+M191+M178+M271+M287+M308+M325+M338+M361+M382</f>
        <v>1457955</v>
      </c>
      <c r="N23" s="47">
        <f ca="1">N49+N64+N77+N99+N130+N144+N162+N191+N178+N271+N287+N308+N325+N338+N361+N382</f>
        <v>417576.20999999996</v>
      </c>
      <c r="O23" s="47">
        <f ca="1">IF(L23&gt;0,N23*100/L23,0)</f>
        <v>23.808506780622558</v>
      </c>
      <c r="P23" s="47">
        <f ca="1">IF(M23&gt;0,N23*100/M23,0)</f>
        <v>28.641227609905656</v>
      </c>
    </row>
    <row r="24" spans="1:16" ht="18.75" x14ac:dyDescent="0.25">
      <c r="A24" s="40"/>
      <c r="B24" s="41"/>
      <c r="C24" s="41"/>
      <c r="D24" s="42" t="s">
        <v>21</v>
      </c>
      <c r="E24" s="41"/>
      <c r="F24" s="41"/>
      <c r="G24" s="43"/>
      <c r="H24" s="44" t="s">
        <v>12</v>
      </c>
      <c r="I24" s="45"/>
      <c r="J24" s="45"/>
      <c r="K24" s="46"/>
      <c r="L24" s="47">
        <f ca="1">L25+L26</f>
        <v>0</v>
      </c>
      <c r="M24" s="47">
        <f ca="1">M25+M26</f>
        <v>0</v>
      </c>
      <c r="N24" s="47">
        <f ca="1">N25+N26</f>
        <v>0</v>
      </c>
      <c r="O24" s="47">
        <f ca="1">IF(L24&gt;0,N24*100/L24,0)</f>
        <v>0</v>
      </c>
      <c r="P24" s="47">
        <f ca="1">IF(M24&gt;0,N24*100/M24,0)</f>
        <v>0</v>
      </c>
    </row>
    <row r="25" spans="1:16" ht="18.75" hidden="1" x14ac:dyDescent="0.25">
      <c r="A25" s="40"/>
      <c r="B25" s="41"/>
      <c r="C25" s="41"/>
      <c r="D25" s="41"/>
      <c r="E25" s="279" t="s">
        <v>18</v>
      </c>
      <c r="F25" s="41"/>
      <c r="G25" s="43"/>
      <c r="H25" s="49" t="s">
        <v>12</v>
      </c>
      <c r="I25" s="45"/>
      <c r="J25" s="45"/>
      <c r="K25" s="46"/>
      <c r="L25" s="50">
        <f>L51+L66+L79+L101+L132+L146+L164+L193+L180+L273+L289+L310+L327+L340+L363+L384</f>
        <v>0</v>
      </c>
      <c r="M25" s="50">
        <f>M51+M66+M79+M101+M132+M146+M164+M193+M180+M273+M289+M310+M327+M340+M363+M384</f>
        <v>0</v>
      </c>
      <c r="N25" s="50">
        <f>N51+N66+N79+N101+N132+N146+N164+N193+N180+N273+N289+N310+N327+N340+N363+N384</f>
        <v>0</v>
      </c>
      <c r="O25" s="50">
        <f>IF(L25&gt;0,N25*100/L25,0)</f>
        <v>0</v>
      </c>
      <c r="P25" s="50">
        <f>IF(M25&gt;0,N25*100/M25,0)</f>
        <v>0</v>
      </c>
    </row>
    <row r="26" spans="1:16" ht="18.75" x14ac:dyDescent="0.25">
      <c r="A26" s="40"/>
      <c r="B26" s="41"/>
      <c r="C26" s="41"/>
      <c r="D26" s="41"/>
      <c r="E26" s="254" t="s">
        <v>19</v>
      </c>
      <c r="F26" s="41"/>
      <c r="G26" s="43"/>
      <c r="H26" s="44" t="s">
        <v>12</v>
      </c>
      <c r="I26" s="45"/>
      <c r="J26" s="45"/>
      <c r="K26" s="46"/>
      <c r="L26" s="47">
        <f ca="1">L52+L67+L80+L102+L133+L147+L165+L194+L181+L274+L290+L311+L328+L341+L364+L385</f>
        <v>0</v>
      </c>
      <c r="M26" s="47">
        <f ca="1">M52+M67+M80+M102+M133+M147+M165+M194+M181+M274+M290+M311+M328+M341+M364+M385</f>
        <v>0</v>
      </c>
      <c r="N26" s="47">
        <f ca="1">N52+N67+N80+N102+N133+N147+N165+N194+N181+N274+N290+N311+N328+N341+N364+N385</f>
        <v>0</v>
      </c>
      <c r="O26" s="47">
        <f ca="1">IF(L26&gt;0,N26*100/L26,0)</f>
        <v>0</v>
      </c>
      <c r="P26" s="47">
        <f ca="1">IF(M26&gt;0,N26*100/M26,0)</f>
        <v>0</v>
      </c>
    </row>
    <row r="27" spans="1:16" ht="18.75" hidden="1" x14ac:dyDescent="0.25">
      <c r="A27" s="40"/>
      <c r="B27" s="41"/>
      <c r="C27" s="41"/>
      <c r="D27" s="42" t="s">
        <v>22</v>
      </c>
      <c r="E27" s="41"/>
      <c r="F27" s="41"/>
      <c r="G27" s="43"/>
      <c r="H27" s="44" t="s">
        <v>12</v>
      </c>
      <c r="I27" s="45"/>
      <c r="J27" s="45"/>
      <c r="K27" s="46"/>
      <c r="L27" s="47"/>
      <c r="M27" s="47"/>
      <c r="N27" s="47"/>
      <c r="O27" s="47"/>
      <c r="P27" s="47"/>
    </row>
    <row r="28" spans="1:16" ht="18.75" hidden="1" x14ac:dyDescent="0.25">
      <c r="A28" s="40"/>
      <c r="B28" s="41"/>
      <c r="C28" s="41"/>
      <c r="D28" s="41"/>
      <c r="E28" s="279" t="s">
        <v>18</v>
      </c>
      <c r="F28" s="41"/>
      <c r="G28" s="43"/>
      <c r="H28" s="49" t="s">
        <v>12</v>
      </c>
      <c r="I28" s="45"/>
      <c r="J28" s="45"/>
      <c r="K28" s="46"/>
      <c r="L28" s="50"/>
      <c r="M28" s="50"/>
      <c r="N28" s="50"/>
      <c r="O28" s="50"/>
      <c r="P28" s="50"/>
    </row>
    <row r="29" spans="1:16" ht="18.75" hidden="1" x14ac:dyDescent="0.25">
      <c r="A29" s="52"/>
      <c r="B29" s="1"/>
      <c r="C29" s="1"/>
      <c r="D29" s="1"/>
      <c r="E29" s="53" t="s">
        <v>19</v>
      </c>
      <c r="F29" s="1"/>
      <c r="G29" s="54"/>
      <c r="H29" s="55" t="s">
        <v>12</v>
      </c>
      <c r="I29" s="56"/>
      <c r="J29" s="56"/>
      <c r="K29" s="57"/>
      <c r="L29" s="58"/>
      <c r="M29" s="58"/>
      <c r="N29" s="58"/>
      <c r="O29" s="58"/>
      <c r="P29" s="58"/>
    </row>
    <row r="30" spans="1:16" ht="12.75" hidden="1" x14ac:dyDescent="0.2">
      <c r="A30" s="381"/>
      <c r="B30" s="379"/>
      <c r="C30" s="379"/>
      <c r="D30" s="379"/>
      <c r="E30" s="379"/>
      <c r="F30" s="379"/>
      <c r="G30" s="380"/>
      <c r="H30" s="12"/>
      <c r="I30" s="13"/>
      <c r="J30" s="13"/>
      <c r="K30" s="14"/>
      <c r="L30" s="14"/>
      <c r="M30" s="14"/>
      <c r="N30" s="14"/>
      <c r="O30" s="14"/>
      <c r="P30" s="14"/>
    </row>
    <row r="31" spans="1:16" ht="12.75" hidden="1" x14ac:dyDescent="0.2">
      <c r="A31" s="15"/>
      <c r="B31" s="16"/>
      <c r="C31" s="16"/>
      <c r="D31" s="16"/>
      <c r="E31" s="16"/>
      <c r="F31" s="16"/>
      <c r="G31" s="17"/>
      <c r="H31" s="17"/>
      <c r="I31" s="18"/>
      <c r="J31" s="18"/>
      <c r="K31" s="19"/>
      <c r="L31" s="19"/>
      <c r="M31" s="19"/>
      <c r="N31" s="19"/>
      <c r="O31" s="19"/>
      <c r="P31" s="19"/>
    </row>
    <row r="32" spans="1:16" ht="12.75" hidden="1" x14ac:dyDescent="0.2">
      <c r="A32" s="15"/>
      <c r="B32" s="16"/>
      <c r="C32" s="16"/>
      <c r="D32" s="16"/>
      <c r="E32" s="16"/>
      <c r="F32" s="16"/>
      <c r="G32" s="17"/>
      <c r="H32" s="17"/>
      <c r="I32" s="18"/>
      <c r="J32" s="18"/>
      <c r="K32" s="19"/>
      <c r="L32" s="19"/>
      <c r="M32" s="19"/>
      <c r="N32" s="19"/>
      <c r="O32" s="19"/>
      <c r="P32" s="19"/>
    </row>
    <row r="33" spans="1:16" ht="12.75" hidden="1" x14ac:dyDescent="0.2">
      <c r="A33" s="15"/>
      <c r="B33" s="16"/>
      <c r="C33" s="16"/>
      <c r="D33" s="16"/>
      <c r="E33" s="16"/>
      <c r="F33" s="16"/>
      <c r="G33" s="17"/>
      <c r="H33" s="17"/>
      <c r="I33" s="18"/>
      <c r="J33" s="18"/>
      <c r="K33" s="19"/>
      <c r="L33" s="19"/>
      <c r="M33" s="19"/>
      <c r="N33" s="19"/>
      <c r="O33" s="19"/>
      <c r="P33" s="19"/>
    </row>
    <row r="34" spans="1:16" ht="12.75" hidden="1" x14ac:dyDescent="0.2">
      <c r="A34" s="15"/>
      <c r="B34" s="16"/>
      <c r="C34" s="16"/>
      <c r="D34" s="16"/>
      <c r="E34" s="16"/>
      <c r="F34" s="16"/>
      <c r="G34" s="17"/>
      <c r="H34" s="17"/>
      <c r="I34" s="18"/>
      <c r="J34" s="18"/>
      <c r="K34" s="19"/>
      <c r="L34" s="19"/>
      <c r="M34" s="19"/>
      <c r="N34" s="19"/>
      <c r="O34" s="19"/>
      <c r="P34" s="19"/>
    </row>
    <row r="35" spans="1:16" ht="12.75" hidden="1" x14ac:dyDescent="0.2">
      <c r="A35" s="15"/>
      <c r="B35" s="16"/>
      <c r="C35" s="16"/>
      <c r="D35" s="16"/>
      <c r="E35" s="16"/>
      <c r="F35" s="16"/>
      <c r="G35" s="17"/>
      <c r="H35" s="17"/>
      <c r="I35" s="18"/>
      <c r="J35" s="18"/>
      <c r="K35" s="19"/>
      <c r="L35" s="19"/>
      <c r="M35" s="19"/>
      <c r="N35" s="19"/>
      <c r="O35" s="19"/>
      <c r="P35" s="19"/>
    </row>
    <row r="36" spans="1:16" ht="12.75" hidden="1" x14ac:dyDescent="0.2">
      <c r="A36" s="15"/>
      <c r="B36" s="16"/>
      <c r="C36" s="16"/>
      <c r="D36" s="16"/>
      <c r="E36" s="16"/>
      <c r="F36" s="16"/>
      <c r="G36" s="17"/>
      <c r="H36" s="17"/>
      <c r="I36" s="18"/>
      <c r="J36" s="18"/>
      <c r="K36" s="19"/>
      <c r="L36" s="19"/>
      <c r="M36" s="19"/>
      <c r="N36" s="19"/>
      <c r="O36" s="19"/>
      <c r="P36" s="19"/>
    </row>
    <row r="37" spans="1:16" ht="12.75" hidden="1" x14ac:dyDescent="0.2">
      <c r="A37" s="15"/>
      <c r="B37" s="16"/>
      <c r="C37" s="16"/>
      <c r="D37" s="16"/>
      <c r="E37" s="16"/>
      <c r="F37" s="16"/>
      <c r="G37" s="17"/>
      <c r="H37" s="17"/>
      <c r="I37" s="18"/>
      <c r="J37" s="18"/>
      <c r="K37" s="19"/>
      <c r="L37" s="19"/>
      <c r="M37" s="19"/>
      <c r="N37" s="19"/>
      <c r="O37" s="19"/>
      <c r="P37" s="19"/>
    </row>
    <row r="38" spans="1:16" ht="12.75" hidden="1" x14ac:dyDescent="0.2">
      <c r="A38" s="15"/>
      <c r="B38" s="16"/>
      <c r="C38" s="16"/>
      <c r="D38" s="16"/>
      <c r="E38" s="16"/>
      <c r="F38" s="16"/>
      <c r="G38" s="17"/>
      <c r="H38" s="17"/>
      <c r="I38" s="18"/>
      <c r="J38" s="18"/>
      <c r="K38" s="19"/>
      <c r="L38" s="19"/>
      <c r="M38" s="19"/>
      <c r="N38" s="19"/>
      <c r="O38" s="19"/>
      <c r="P38" s="19"/>
    </row>
    <row r="39" spans="1:16" ht="12.75" hidden="1" x14ac:dyDescent="0.2">
      <c r="A39" s="20"/>
      <c r="B39" s="21"/>
      <c r="C39" s="21"/>
      <c r="D39" s="21"/>
      <c r="E39" s="21"/>
      <c r="F39" s="21"/>
      <c r="G39" s="12"/>
      <c r="H39" s="12"/>
      <c r="I39" s="13"/>
      <c r="J39" s="13"/>
      <c r="K39" s="14"/>
      <c r="L39" s="14"/>
      <c r="M39" s="14"/>
      <c r="N39" s="14"/>
      <c r="O39" s="14"/>
      <c r="P39" s="14"/>
    </row>
    <row r="40" spans="1:16" ht="19.5" hidden="1" x14ac:dyDescent="0.3">
      <c r="A40" s="59" t="s">
        <v>23</v>
      </c>
      <c r="B40" s="60"/>
      <c r="C40" s="60"/>
      <c r="D40" s="60"/>
      <c r="E40" s="60"/>
      <c r="F40" s="60"/>
      <c r="G40" s="61"/>
      <c r="H40" s="61"/>
      <c r="I40" s="62"/>
      <c r="J40" s="62"/>
      <c r="K40" s="63"/>
      <c r="L40" s="64">
        <f ca="1">L44+L59+L72+L94+L125+L139+L157+L173+L186+L266+L282+L303+L320+L333+L356</f>
        <v>1753895</v>
      </c>
      <c r="M40" s="64">
        <f ca="1">M44+M59+M72+M94+M125+M139+M157+M173+M186+M266+M282+M303+M320+M333+M356</f>
        <v>1457955</v>
      </c>
      <c r="N40" s="64">
        <f ca="1">N44+N59+N72+N94+N125+N139+N157+N173+N186+N266+N282+N303+N320+N333+N356</f>
        <v>417576.20999999996</v>
      </c>
      <c r="O40" s="64">
        <f ca="1">IF(L40&gt;0,N40*100/L40,0)</f>
        <v>23.808506780622558</v>
      </c>
      <c r="P40" s="64">
        <f ca="1">IF(M40&gt;0,N40*100/M40,0)</f>
        <v>28.641227609905656</v>
      </c>
    </row>
    <row r="41" spans="1:16" ht="19.5" x14ac:dyDescent="0.3">
      <c r="A41" s="65" t="s">
        <v>24</v>
      </c>
      <c r="B41" s="66"/>
      <c r="C41" s="66"/>
      <c r="D41" s="66"/>
      <c r="E41" s="66"/>
      <c r="F41" s="66"/>
      <c r="G41" s="66"/>
      <c r="H41" s="66"/>
      <c r="I41" s="67"/>
      <c r="J41" s="67"/>
      <c r="K41" s="68"/>
      <c r="L41" s="68"/>
      <c r="M41" s="68"/>
      <c r="N41" s="68"/>
      <c r="O41" s="68"/>
      <c r="P41" s="69"/>
    </row>
    <row r="42" spans="1:16" ht="19.5" x14ac:dyDescent="0.3">
      <c r="A42" s="70"/>
      <c r="B42" s="71" t="s">
        <v>25</v>
      </c>
      <c r="C42" s="70"/>
      <c r="D42" s="70"/>
      <c r="E42" s="70"/>
      <c r="F42" s="70"/>
      <c r="G42" s="72"/>
      <c r="H42" s="72"/>
      <c r="I42" s="73"/>
      <c r="J42" s="73"/>
      <c r="K42" s="74"/>
      <c r="L42" s="74"/>
      <c r="M42" s="74"/>
      <c r="N42" s="74"/>
      <c r="O42" s="74"/>
      <c r="P42" s="74"/>
    </row>
    <row r="43" spans="1:16" ht="12.75" hidden="1" x14ac:dyDescent="0.2">
      <c r="A43" s="15"/>
      <c r="B43" s="16"/>
      <c r="C43" s="16"/>
      <c r="D43" s="16"/>
      <c r="E43" s="16"/>
      <c r="F43" s="16"/>
      <c r="G43" s="17"/>
      <c r="H43" s="17"/>
      <c r="I43" s="18"/>
      <c r="J43" s="18"/>
      <c r="K43" s="19"/>
      <c r="L43" s="19"/>
      <c r="M43" s="19"/>
      <c r="N43" s="19"/>
      <c r="O43" s="19"/>
      <c r="P43" s="19"/>
    </row>
    <row r="44" spans="1:16" ht="19.5" x14ac:dyDescent="0.3">
      <c r="A44" s="75"/>
      <c r="B44" s="76"/>
      <c r="C44" s="77" t="s">
        <v>16</v>
      </c>
      <c r="D44" s="404" t="s">
        <v>17</v>
      </c>
      <c r="E44" s="76"/>
      <c r="F44" s="76"/>
      <c r="G44" s="79"/>
      <c r="H44" s="80" t="s">
        <v>12</v>
      </c>
      <c r="I44" s="81"/>
      <c r="J44" s="81"/>
      <c r="K44" s="82"/>
      <c r="L44" s="83">
        <f ca="1">L45+L46</f>
        <v>424800</v>
      </c>
      <c r="M44" s="83">
        <f ca="1">M45+M46</f>
        <v>424800</v>
      </c>
      <c r="N44" s="83">
        <f ca="1">N45+N46</f>
        <v>97400</v>
      </c>
      <c r="O44" s="83">
        <f ca="1">IF(L44&gt;0,N44*100/L44,0)</f>
        <v>22.928436911487758</v>
      </c>
      <c r="P44" s="83">
        <f ca="1">IF(M44&gt;0,N44*100/M44,0)</f>
        <v>22.928436911487758</v>
      </c>
    </row>
    <row r="45" spans="1:16" ht="18.75" hidden="1" x14ac:dyDescent="0.25">
      <c r="A45" s="75"/>
      <c r="B45" s="76"/>
      <c r="C45" s="76"/>
      <c r="D45" s="76"/>
      <c r="E45" s="84" t="s">
        <v>18</v>
      </c>
      <c r="F45" s="76"/>
      <c r="G45" s="79"/>
      <c r="H45" s="85" t="s">
        <v>12</v>
      </c>
      <c r="I45" s="81"/>
      <c r="J45" s="81"/>
      <c r="K45" s="82"/>
      <c r="L45" s="86">
        <f>L48+L51</f>
        <v>0</v>
      </c>
      <c r="M45" s="86">
        <f>M48+M51</f>
        <v>0</v>
      </c>
      <c r="N45" s="86">
        <f>N48+N51</f>
        <v>0</v>
      </c>
      <c r="O45" s="86">
        <f>IF(L45&gt;0,N45*100/L45,0)</f>
        <v>0</v>
      </c>
      <c r="P45" s="86">
        <f>IF(M45&gt;0,N45*100/M45,0)</f>
        <v>0</v>
      </c>
    </row>
    <row r="46" spans="1:16" ht="18.75" x14ac:dyDescent="0.25">
      <c r="A46" s="75"/>
      <c r="B46" s="76"/>
      <c r="C46" s="76"/>
      <c r="D46" s="76"/>
      <c r="E46" s="87" t="s">
        <v>19</v>
      </c>
      <c r="F46" s="76"/>
      <c r="G46" s="79"/>
      <c r="H46" s="88" t="s">
        <v>12</v>
      </c>
      <c r="I46" s="81"/>
      <c r="J46" s="81"/>
      <c r="K46" s="82"/>
      <c r="L46" s="89">
        <f ca="1">L49+L52</f>
        <v>424800</v>
      </c>
      <c r="M46" s="89">
        <f ca="1">M49+M52</f>
        <v>424800</v>
      </c>
      <c r="N46" s="89">
        <f ca="1">N49+N52</f>
        <v>97400</v>
      </c>
      <c r="O46" s="89">
        <f ca="1">IF(L46&gt;0,N46*100/L46,0)</f>
        <v>22.928436911487758</v>
      </c>
      <c r="P46" s="89">
        <f ca="1">IF(M46&gt;0,N46*100/M46,0)</f>
        <v>22.928436911487758</v>
      </c>
    </row>
    <row r="47" spans="1:16" ht="18.75" x14ac:dyDescent="0.25">
      <c r="A47" s="40"/>
      <c r="B47" s="41"/>
      <c r="C47" s="41"/>
      <c r="D47" s="42" t="s">
        <v>20</v>
      </c>
      <c r="E47" s="41"/>
      <c r="F47" s="41"/>
      <c r="G47" s="43"/>
      <c r="H47" s="44" t="s">
        <v>12</v>
      </c>
      <c r="I47" s="45"/>
      <c r="J47" s="45"/>
      <c r="K47" s="46"/>
      <c r="L47" s="47">
        <f ca="1">L48+L49</f>
        <v>424800</v>
      </c>
      <c r="M47" s="47">
        <f ca="1">M48+M49</f>
        <v>424800</v>
      </c>
      <c r="N47" s="47">
        <f ca="1">N48+N49</f>
        <v>97400</v>
      </c>
      <c r="O47" s="47">
        <f ca="1">IF(L47&gt;0,N47*100/L47,0)</f>
        <v>22.928436911487758</v>
      </c>
      <c r="P47" s="47">
        <f ca="1">IF(M47&gt;0,N47*100/M47,0)</f>
        <v>22.928436911487758</v>
      </c>
    </row>
    <row r="48" spans="1:16" ht="18.75" hidden="1" x14ac:dyDescent="0.25">
      <c r="A48" s="40"/>
      <c r="B48" s="41"/>
      <c r="C48" s="41"/>
      <c r="D48" s="41"/>
      <c r="E48" s="279" t="s">
        <v>18</v>
      </c>
      <c r="F48" s="41"/>
      <c r="G48" s="43"/>
      <c r="H48" s="49" t="s">
        <v>12</v>
      </c>
      <c r="I48" s="45"/>
      <c r="J48" s="45"/>
      <c r="K48" s="46"/>
      <c r="L48" s="50">
        <v>0</v>
      </c>
      <c r="M48" s="50">
        <v>0</v>
      </c>
      <c r="N48" s="50">
        <v>0</v>
      </c>
      <c r="O48" s="50">
        <f>IF(L48&gt;0,N48*100/L48,0)</f>
        <v>0</v>
      </c>
      <c r="P48" s="50">
        <f>IF(M48&gt;0,N48*100/M48,0)</f>
        <v>0</v>
      </c>
    </row>
    <row r="49" spans="1:16" ht="18.75" x14ac:dyDescent="0.25">
      <c r="A49" s="40"/>
      <c r="B49" s="41"/>
      <c r="C49" s="41"/>
      <c r="D49" s="41"/>
      <c r="E49" s="254" t="s">
        <v>19</v>
      </c>
      <c r="F49" s="41"/>
      <c r="G49" s="43"/>
      <c r="H49" s="44" t="s">
        <v>12</v>
      </c>
      <c r="I49" s="45"/>
      <c r="J49" s="45"/>
      <c r="K49" s="46"/>
      <c r="L49" s="47">
        <f ca="1">IFERROR(__xludf.DUMMYFUNCTION("IMPORTRANGE(""https://docs.google.com/spreadsheets/d/1-uDff_7J0KD5mKrp0Vvzr7lt3OU09vwQwhkpOPPYv2Y/edit?usp=sharing"",""งบพรบ!P24"")"),424800)</f>
        <v>424800</v>
      </c>
      <c r="M49" s="47">
        <f ca="1">IFERROR(__xludf.DUMMYFUNCTION("IMPORTRANGE(""https://docs.google.com/spreadsheets/d/1-uDff_7J0KD5mKrp0Vvzr7lt3OU09vwQwhkpOPPYv2Y/edit?usp=sharing"",""งบพรบ!V24"")"),424800)</f>
        <v>424800</v>
      </c>
      <c r="N49" s="47">
        <f ca="1">IFERROR(__xludf.DUMMYFUNCTION("IMPORTRANGE(""https://docs.google.com/spreadsheets/d/1-uDff_7J0KD5mKrp0Vvzr7lt3OU09vwQwhkpOPPYv2Y/edit?usp=sharing"",""งบพรบ!Y24"")"),97400)</f>
        <v>97400</v>
      </c>
      <c r="O49" s="47">
        <f ca="1">IF(L49&gt;0,N49*100/L49,0)</f>
        <v>22.928436911487758</v>
      </c>
      <c r="P49" s="47">
        <f ca="1">IF(M49&gt;0,N49*100/M49,0)</f>
        <v>22.928436911487758</v>
      </c>
    </row>
    <row r="50" spans="1:16" ht="18.75" x14ac:dyDescent="0.25">
      <c r="A50" s="40"/>
      <c r="B50" s="41"/>
      <c r="C50" s="41"/>
      <c r="D50" s="42" t="s">
        <v>21</v>
      </c>
      <c r="E50" s="41"/>
      <c r="F50" s="41"/>
      <c r="G50" s="43"/>
      <c r="H50" s="44" t="s">
        <v>12</v>
      </c>
      <c r="I50" s="45"/>
      <c r="J50" s="45"/>
      <c r="K50" s="46"/>
      <c r="L50" s="47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</row>
    <row r="51" spans="1:16" ht="18.75" hidden="1" x14ac:dyDescent="0.25">
      <c r="A51" s="40"/>
      <c r="B51" s="41"/>
      <c r="C51" s="41"/>
      <c r="D51" s="41"/>
      <c r="E51" s="279" t="s">
        <v>18</v>
      </c>
      <c r="F51" s="41"/>
      <c r="G51" s="43"/>
      <c r="H51" s="49" t="s">
        <v>12</v>
      </c>
      <c r="I51" s="45"/>
      <c r="J51" s="45"/>
      <c r="K51" s="46"/>
      <c r="L51" s="50">
        <v>0</v>
      </c>
      <c r="M51" s="50">
        <v>0</v>
      </c>
      <c r="N51" s="50">
        <v>0</v>
      </c>
      <c r="O51" s="50">
        <f>IF(L51&gt;0,N51*100/L51,0)</f>
        <v>0</v>
      </c>
      <c r="P51" s="50">
        <f>IF(M51&gt;0,N51*100/M51,0)</f>
        <v>0</v>
      </c>
    </row>
    <row r="52" spans="1:16" ht="18.75" x14ac:dyDescent="0.25">
      <c r="A52" s="40"/>
      <c r="B52" s="41"/>
      <c r="C52" s="41"/>
      <c r="D52" s="41"/>
      <c r="E52" s="254" t="s">
        <v>19</v>
      </c>
      <c r="F52" s="41"/>
      <c r="G52" s="43"/>
      <c r="H52" s="44" t="s">
        <v>12</v>
      </c>
      <c r="I52" s="45"/>
      <c r="J52" s="45"/>
      <c r="K52" s="46"/>
      <c r="L52" s="47">
        <f ca="1">IFERROR(__xludf.DUMMYFUNCTION("IMPORTRANGE(""https://docs.google.com/spreadsheets/d/1-uDff_7J0KD5mKrp0Vvzr7lt3OU09vwQwhkpOPPYv2Y/edit?usp=sharing"",""งบพรบ!S24"")"),0)</f>
        <v>0</v>
      </c>
      <c r="M52" s="47">
        <f ca="1">IFERROR(__xludf.DUMMYFUNCTION("IMPORTRANGE(""https://docs.google.com/spreadsheets/d/1-uDff_7J0KD5mKrp0Vvzr7lt3OU09vwQwhkpOPPYv2Y/edit?usp=sharing"",""งบพรบ!W24"")"),0)</f>
        <v>0</v>
      </c>
      <c r="N52" s="47">
        <f ca="1">IFERROR(__xludf.DUMMYFUNCTION("IMPORTRANGE(""https://docs.google.com/spreadsheets/d/1-uDff_7J0KD5mKrp0Vvzr7lt3OU09vwQwhkpOPPYv2Y/edit?usp=sharing"",""งบพรบ!Z24"")"),0)</f>
        <v>0</v>
      </c>
      <c r="O52" s="47">
        <f ca="1">IF(L52&gt;0,N52*100/L52,0)</f>
        <v>0</v>
      </c>
      <c r="P52" s="47">
        <f ca="1">IF(M52&gt;0,N52*100/M52,0)</f>
        <v>0</v>
      </c>
    </row>
    <row r="53" spans="1:16" ht="18.75" hidden="1" x14ac:dyDescent="0.25">
      <c r="A53" s="40"/>
      <c r="B53" s="41"/>
      <c r="C53" s="41"/>
      <c r="D53" s="42" t="s">
        <v>22</v>
      </c>
      <c r="E53" s="41"/>
      <c r="F53" s="41"/>
      <c r="G53" s="43"/>
      <c r="H53" s="44" t="s">
        <v>12</v>
      </c>
      <c r="I53" s="45"/>
      <c r="J53" s="45"/>
      <c r="K53" s="46"/>
      <c r="L53" s="47"/>
      <c r="M53" s="47"/>
      <c r="N53" s="47"/>
      <c r="O53" s="47"/>
      <c r="P53" s="47"/>
    </row>
    <row r="54" spans="1:16" ht="18.75" hidden="1" x14ac:dyDescent="0.25">
      <c r="A54" s="40"/>
      <c r="B54" s="41"/>
      <c r="C54" s="41"/>
      <c r="D54" s="41"/>
      <c r="E54" s="279" t="s">
        <v>18</v>
      </c>
      <c r="F54" s="41"/>
      <c r="G54" s="43"/>
      <c r="H54" s="49" t="s">
        <v>12</v>
      </c>
      <c r="I54" s="45"/>
      <c r="J54" s="45"/>
      <c r="K54" s="46"/>
      <c r="L54" s="50"/>
      <c r="M54" s="50"/>
      <c r="N54" s="50"/>
      <c r="O54" s="50"/>
      <c r="P54" s="50"/>
    </row>
    <row r="55" spans="1:16" ht="18.75" hidden="1" x14ac:dyDescent="0.25">
      <c r="A55" s="52"/>
      <c r="B55" s="1"/>
      <c r="C55" s="1"/>
      <c r="D55" s="1"/>
      <c r="E55" s="53" t="s">
        <v>19</v>
      </c>
      <c r="F55" s="1"/>
      <c r="G55" s="54"/>
      <c r="H55" s="55" t="s">
        <v>12</v>
      </c>
      <c r="I55" s="56"/>
      <c r="J55" s="56"/>
      <c r="K55" s="57"/>
      <c r="L55" s="58"/>
      <c r="M55" s="58"/>
      <c r="N55" s="58"/>
      <c r="O55" s="58"/>
      <c r="P55" s="58"/>
    </row>
    <row r="56" spans="1:16" ht="19.5" x14ac:dyDescent="0.3">
      <c r="A56" s="382" t="s">
        <v>26</v>
      </c>
      <c r="B56" s="379"/>
      <c r="C56" s="379"/>
      <c r="D56" s="379"/>
      <c r="E56" s="379"/>
      <c r="F56" s="379"/>
      <c r="G56" s="380"/>
      <c r="H56" s="90"/>
      <c r="I56" s="91"/>
      <c r="J56" s="91"/>
      <c r="K56" s="92"/>
      <c r="L56" s="92"/>
      <c r="M56" s="92"/>
      <c r="N56" s="92"/>
      <c r="O56" s="92"/>
      <c r="P56" s="93"/>
    </row>
    <row r="57" spans="1:16" ht="19.5" x14ac:dyDescent="0.3">
      <c r="A57" s="94"/>
      <c r="B57" s="383" t="s">
        <v>27</v>
      </c>
      <c r="C57" s="384"/>
      <c r="D57" s="384"/>
      <c r="E57" s="384"/>
      <c r="F57" s="384"/>
      <c r="G57" s="385"/>
      <c r="H57" s="95"/>
      <c r="I57" s="96"/>
      <c r="J57" s="96"/>
      <c r="K57" s="97"/>
      <c r="L57" s="97"/>
      <c r="M57" s="97"/>
      <c r="N57" s="97"/>
      <c r="O57" s="97"/>
      <c r="P57" s="97"/>
    </row>
    <row r="58" spans="1:16" ht="19.5" x14ac:dyDescent="0.3">
      <c r="A58" s="98"/>
      <c r="B58" s="99" t="s">
        <v>28</v>
      </c>
      <c r="C58" s="100"/>
      <c r="D58" s="100"/>
      <c r="E58" s="100"/>
      <c r="F58" s="100"/>
      <c r="G58" s="101"/>
      <c r="H58" s="101"/>
      <c r="I58" s="102"/>
      <c r="J58" s="102"/>
      <c r="K58" s="103"/>
      <c r="L58" s="103"/>
      <c r="M58" s="103"/>
      <c r="N58" s="103"/>
      <c r="O58" s="103"/>
      <c r="P58" s="103"/>
    </row>
    <row r="59" spans="1:16" ht="19.5" x14ac:dyDescent="0.3">
      <c r="A59" s="104"/>
      <c r="B59" s="105"/>
      <c r="C59" s="106" t="s">
        <v>16</v>
      </c>
      <c r="D59" s="403" t="s">
        <v>17</v>
      </c>
      <c r="E59" s="105"/>
      <c r="F59" s="105"/>
      <c r="G59" s="108"/>
      <c r="H59" s="109" t="s">
        <v>12</v>
      </c>
      <c r="I59" s="110"/>
      <c r="J59" s="110"/>
      <c r="K59" s="111"/>
      <c r="L59" s="112">
        <f ca="1">L60+L61</f>
        <v>417500</v>
      </c>
      <c r="M59" s="112">
        <f ca="1">M60+M61</f>
        <v>315150</v>
      </c>
      <c r="N59" s="112">
        <f ca="1">N60+N61</f>
        <v>231696.21</v>
      </c>
      <c r="O59" s="112">
        <f ca="1">IF(L59&gt;0,N59*100/L59,0)</f>
        <v>55.496098203592815</v>
      </c>
      <c r="P59" s="112">
        <f ca="1">IF(M59&gt;0,N59*100/M59,0)</f>
        <v>73.519343169919082</v>
      </c>
    </row>
    <row r="60" spans="1:16" ht="18.75" hidden="1" x14ac:dyDescent="0.25">
      <c r="A60" s="104"/>
      <c r="B60" s="105"/>
      <c r="C60" s="105"/>
      <c r="D60" s="105"/>
      <c r="E60" s="113" t="s">
        <v>18</v>
      </c>
      <c r="F60" s="105"/>
      <c r="G60" s="108"/>
      <c r="H60" s="114" t="s">
        <v>12</v>
      </c>
      <c r="I60" s="110"/>
      <c r="J60" s="110"/>
      <c r="K60" s="111"/>
      <c r="L60" s="115">
        <f>L63+L66</f>
        <v>0</v>
      </c>
      <c r="M60" s="115">
        <f>M63+M66</f>
        <v>0</v>
      </c>
      <c r="N60" s="115">
        <f>N63+N66</f>
        <v>0</v>
      </c>
      <c r="O60" s="115">
        <f>IF(L60&gt;0,N60*100/L60,0)</f>
        <v>0</v>
      </c>
      <c r="P60" s="115">
        <f>IF(M60&gt;0,N60*100/M60,0)</f>
        <v>0</v>
      </c>
    </row>
    <row r="61" spans="1:16" ht="18.75" x14ac:dyDescent="0.25">
      <c r="A61" s="104"/>
      <c r="B61" s="105"/>
      <c r="C61" s="105"/>
      <c r="D61" s="105"/>
      <c r="E61" s="116" t="s">
        <v>19</v>
      </c>
      <c r="F61" s="105"/>
      <c r="G61" s="108"/>
      <c r="H61" s="117" t="s">
        <v>12</v>
      </c>
      <c r="I61" s="110"/>
      <c r="J61" s="110"/>
      <c r="K61" s="111"/>
      <c r="L61" s="118">
        <f ca="1">L64+L67</f>
        <v>417500</v>
      </c>
      <c r="M61" s="118">
        <f ca="1">M64+M67</f>
        <v>315150</v>
      </c>
      <c r="N61" s="118">
        <f ca="1">N64+N67</f>
        <v>231696.21</v>
      </c>
      <c r="O61" s="118">
        <f ca="1">IF(L61&gt;0,N61*100/L61,0)</f>
        <v>55.496098203592815</v>
      </c>
      <c r="P61" s="118">
        <f ca="1">IF(M61&gt;0,N61*100/M61,0)</f>
        <v>73.519343169919082</v>
      </c>
    </row>
    <row r="62" spans="1:16" ht="18.75" x14ac:dyDescent="0.25">
      <c r="A62" s="40"/>
      <c r="B62" s="41"/>
      <c r="C62" s="41"/>
      <c r="D62" s="42" t="s">
        <v>20</v>
      </c>
      <c r="E62" s="41"/>
      <c r="F62" s="41"/>
      <c r="G62" s="43"/>
      <c r="H62" s="44" t="s">
        <v>12</v>
      </c>
      <c r="I62" s="45"/>
      <c r="J62" s="45"/>
      <c r="K62" s="46"/>
      <c r="L62" s="47">
        <f ca="1">L63+L64</f>
        <v>417500</v>
      </c>
      <c r="M62" s="47">
        <f ca="1">M63+M64</f>
        <v>315150</v>
      </c>
      <c r="N62" s="47">
        <f ca="1">N63+N64</f>
        <v>231696.21</v>
      </c>
      <c r="O62" s="47">
        <f ca="1">IF(L62&gt;0,N62*100/L62,0)</f>
        <v>55.496098203592815</v>
      </c>
      <c r="P62" s="47">
        <f ca="1">IF(M62&gt;0,N62*100/M62,0)</f>
        <v>73.519343169919082</v>
      </c>
    </row>
    <row r="63" spans="1:16" ht="18.75" hidden="1" x14ac:dyDescent="0.25">
      <c r="A63" s="40"/>
      <c r="B63" s="41"/>
      <c r="C63" s="41"/>
      <c r="D63" s="41"/>
      <c r="E63" s="279" t="s">
        <v>18</v>
      </c>
      <c r="F63" s="41"/>
      <c r="G63" s="43"/>
      <c r="H63" s="49" t="s">
        <v>12</v>
      </c>
      <c r="I63" s="45"/>
      <c r="J63" s="45"/>
      <c r="K63" s="46"/>
      <c r="L63" s="50">
        <v>0</v>
      </c>
      <c r="M63" s="50">
        <v>0</v>
      </c>
      <c r="N63" s="50">
        <v>0</v>
      </c>
      <c r="O63" s="50">
        <f>IF(L63&gt;0,N63*100/L63,0)</f>
        <v>0</v>
      </c>
      <c r="P63" s="50">
        <f>IF(M63&gt;0,N63*100/M63,0)</f>
        <v>0</v>
      </c>
    </row>
    <row r="64" spans="1:16" ht="18.75" x14ac:dyDescent="0.25">
      <c r="A64" s="40"/>
      <c r="B64" s="41"/>
      <c r="C64" s="41"/>
      <c r="D64" s="41"/>
      <c r="E64" s="254" t="s">
        <v>19</v>
      </c>
      <c r="F64" s="41"/>
      <c r="G64" s="43"/>
      <c r="H64" s="44" t="s">
        <v>12</v>
      </c>
      <c r="I64" s="45"/>
      <c r="J64" s="45"/>
      <c r="K64" s="46"/>
      <c r="L64" s="47">
        <f ca="1">IFERROR(__xludf.DUMMYFUNCTION("IMPORTRANGE(""https://docs.google.com/spreadsheets/d/1-uDff_7J0KD5mKrp0Vvzr7lt3OU09vwQwhkpOPPYv2Y/edit?usp=sharing"",""งบพรบ!AC24"")"),417500)</f>
        <v>417500</v>
      </c>
      <c r="M64" s="47">
        <f ca="1">IFERROR(__xludf.DUMMYFUNCTION("IMPORTRANGE(""https://docs.google.com/spreadsheets/d/1-uDff_7J0KD5mKrp0Vvzr7lt3OU09vwQwhkpOPPYv2Y/edit?usp=sharing"",""งบพรบ!AH24"")"),315150)</f>
        <v>315150</v>
      </c>
      <c r="N64" s="47">
        <f ca="1">IFERROR(__xludf.DUMMYFUNCTION("IMPORTRANGE(""https://docs.google.com/spreadsheets/d/1-uDff_7J0KD5mKrp0Vvzr7lt3OU09vwQwhkpOPPYv2Y/edit?usp=sharing"",""งบพรบ!AJ24"")"),231696.21)</f>
        <v>231696.21</v>
      </c>
      <c r="O64" s="47">
        <f ca="1">IF(L64&gt;0,N64*100/L64,0)</f>
        <v>55.496098203592815</v>
      </c>
      <c r="P64" s="47">
        <f ca="1">IF(M64&gt;0,N64*100/M64,0)</f>
        <v>73.519343169919082</v>
      </c>
    </row>
    <row r="65" spans="1:16" ht="18.75" x14ac:dyDescent="0.25">
      <c r="A65" s="40"/>
      <c r="B65" s="41"/>
      <c r="C65" s="41"/>
      <c r="D65" s="42" t="s">
        <v>21</v>
      </c>
      <c r="E65" s="41"/>
      <c r="F65" s="41"/>
      <c r="G65" s="43"/>
      <c r="H65" s="44" t="s">
        <v>12</v>
      </c>
      <c r="I65" s="45"/>
      <c r="J65" s="45"/>
      <c r="K65" s="46"/>
      <c r="L65" s="47">
        <f ca="1">L66+L67</f>
        <v>0</v>
      </c>
      <c r="M65" s="47">
        <f ca="1">M66+M67</f>
        <v>0</v>
      </c>
      <c r="N65" s="47">
        <f ca="1">N66+N67</f>
        <v>0</v>
      </c>
      <c r="O65" s="47">
        <f ca="1">IF(L65&gt;0,N65*100/L65,0)</f>
        <v>0</v>
      </c>
      <c r="P65" s="47">
        <f ca="1">IF(M65&gt;0,N65*100/M65,0)</f>
        <v>0</v>
      </c>
    </row>
    <row r="66" spans="1:16" ht="18.75" hidden="1" x14ac:dyDescent="0.25">
      <c r="A66" s="40"/>
      <c r="B66" s="41"/>
      <c r="C66" s="41"/>
      <c r="D66" s="41"/>
      <c r="E66" s="279" t="s">
        <v>18</v>
      </c>
      <c r="F66" s="41"/>
      <c r="G66" s="43"/>
      <c r="H66" s="49" t="s">
        <v>12</v>
      </c>
      <c r="I66" s="45"/>
      <c r="J66" s="45"/>
      <c r="K66" s="46"/>
      <c r="L66" s="50">
        <v>0</v>
      </c>
      <c r="M66" s="50">
        <v>0</v>
      </c>
      <c r="N66" s="50">
        <v>0</v>
      </c>
      <c r="O66" s="50">
        <f>IF(L66&gt;0,N66*100/L66,0)</f>
        <v>0</v>
      </c>
      <c r="P66" s="50">
        <f>IF(M66&gt;0,N66*100/M66,0)</f>
        <v>0</v>
      </c>
    </row>
    <row r="67" spans="1:16" ht="18.75" x14ac:dyDescent="0.25">
      <c r="A67" s="52"/>
      <c r="B67" s="1"/>
      <c r="C67" s="1"/>
      <c r="D67" s="1"/>
      <c r="E67" s="53" t="s">
        <v>19</v>
      </c>
      <c r="F67" s="1"/>
      <c r="G67" s="54"/>
      <c r="H67" s="55" t="s">
        <v>12</v>
      </c>
      <c r="I67" s="56"/>
      <c r="J67" s="56"/>
      <c r="K67" s="57"/>
      <c r="L67" s="58">
        <f ca="1">IFERROR(__xludf.DUMMYFUNCTION("IMPORTRANGE(""https://docs.google.com/spreadsheets/d/1-uDff_7J0KD5mKrp0Vvzr7lt3OU09vwQwhkpOPPYv2Y/edit?usp=sharing"",""งบพรบ!AF24"")"),0)</f>
        <v>0</v>
      </c>
      <c r="M67" s="58">
        <f ca="1">IFERROR(__xludf.DUMMYFUNCTION("IMPORTRANGE(""https://docs.google.com/spreadsheets/d/1-uDff_7J0KD5mKrp0Vvzr7lt3OU09vwQwhkpOPPYv2Y/edit?usp=sharing"",""งบพรบ!AI24"")"),0)</f>
        <v>0</v>
      </c>
      <c r="N67" s="58">
        <f ca="1">IFERROR(__xludf.DUMMYFUNCTION("IMPORTRANGE(""https://docs.google.com/spreadsheets/d/1-uDff_7J0KD5mKrp0Vvzr7lt3OU09vwQwhkpOPPYv2Y/edit?usp=sharing"",""งบพรบ!AK24"")"),0)</f>
        <v>0</v>
      </c>
      <c r="O67" s="58">
        <f ca="1">IF(L67&gt;0,N67*100/L67,0)</f>
        <v>0</v>
      </c>
      <c r="P67" s="58">
        <f ca="1">IF(M67&gt;0,N67*100/M67,0)</f>
        <v>0</v>
      </c>
    </row>
    <row r="68" spans="1:16" ht="19.5" hidden="1" x14ac:dyDescent="0.3">
      <c r="A68" s="119" t="s">
        <v>29</v>
      </c>
      <c r="B68" s="120"/>
      <c r="C68" s="120"/>
      <c r="D68" s="120"/>
      <c r="E68" s="121"/>
      <c r="F68" s="121"/>
      <c r="G68" s="121"/>
      <c r="H68" s="121"/>
      <c r="I68" s="122"/>
      <c r="J68" s="122"/>
      <c r="K68" s="123"/>
      <c r="L68" s="123"/>
      <c r="M68" s="123"/>
      <c r="N68" s="123"/>
      <c r="O68" s="123"/>
      <c r="P68" s="124"/>
    </row>
    <row r="69" spans="1:16" ht="19.5" hidden="1" x14ac:dyDescent="0.3">
      <c r="A69" s="125" t="s">
        <v>30</v>
      </c>
      <c r="B69" s="126"/>
      <c r="C69" s="127"/>
      <c r="D69" s="126"/>
      <c r="E69" s="126"/>
      <c r="F69" s="126"/>
      <c r="G69" s="128"/>
      <c r="H69" s="128"/>
      <c r="I69" s="129"/>
      <c r="J69" s="129"/>
      <c r="K69" s="130"/>
      <c r="L69" s="130"/>
      <c r="M69" s="130"/>
      <c r="N69" s="130"/>
      <c r="O69" s="130"/>
      <c r="P69" s="130"/>
    </row>
    <row r="70" spans="1:16" ht="19.5" hidden="1" x14ac:dyDescent="0.3">
      <c r="A70" s="131"/>
      <c r="B70" s="132" t="s">
        <v>31</v>
      </c>
      <c r="C70" s="26"/>
      <c r="D70" s="133"/>
      <c r="E70" s="26"/>
      <c r="F70" s="26"/>
      <c r="G70" s="29"/>
      <c r="H70" s="134" t="s">
        <v>32</v>
      </c>
      <c r="I70" s="135">
        <f ca="1">I82</f>
        <v>0</v>
      </c>
      <c r="J70" s="135">
        <f>J82</f>
        <v>0</v>
      </c>
      <c r="K70" s="33">
        <f ca="1">IF(I70&gt;0,J70*100/I70,0)</f>
        <v>0</v>
      </c>
      <c r="L70" s="32"/>
      <c r="M70" s="32"/>
      <c r="N70" s="32"/>
      <c r="O70" s="32"/>
      <c r="P70" s="32"/>
    </row>
    <row r="71" spans="1:16" ht="19.5" hidden="1" x14ac:dyDescent="0.3">
      <c r="A71" s="131"/>
      <c r="B71" s="26"/>
      <c r="C71" s="26"/>
      <c r="D71" s="133"/>
      <c r="E71" s="26"/>
      <c r="F71" s="26"/>
      <c r="G71" s="29"/>
      <c r="H71" s="134" t="s">
        <v>33</v>
      </c>
      <c r="I71" s="135">
        <f ca="1">I83</f>
        <v>0</v>
      </c>
      <c r="J71" s="135">
        <f>J83</f>
        <v>0</v>
      </c>
      <c r="K71" s="33">
        <f ca="1">IF(I71&gt;0,J71*100/I71,0)</f>
        <v>0</v>
      </c>
      <c r="L71" s="32"/>
      <c r="M71" s="32"/>
      <c r="N71" s="32"/>
      <c r="O71" s="32"/>
      <c r="P71" s="32"/>
    </row>
    <row r="72" spans="1:16" ht="19.5" hidden="1" x14ac:dyDescent="0.3">
      <c r="A72" s="136"/>
      <c r="B72" s="41"/>
      <c r="C72" s="197" t="s">
        <v>16</v>
      </c>
      <c r="D72" s="397" t="s">
        <v>17</v>
      </c>
      <c r="E72" s="41"/>
      <c r="F72" s="41"/>
      <c r="G72" s="43"/>
      <c r="H72" s="139" t="s">
        <v>12</v>
      </c>
      <c r="I72" s="45"/>
      <c r="J72" s="45"/>
      <c r="K72" s="46"/>
      <c r="L72" s="140">
        <f ca="1">L73+L74</f>
        <v>0</v>
      </c>
      <c r="M72" s="140">
        <f ca="1">M73+M74</f>
        <v>0</v>
      </c>
      <c r="N72" s="140">
        <f ca="1">N73+N74</f>
        <v>0</v>
      </c>
      <c r="O72" s="140">
        <f ca="1">IF(L72&gt;0,N72*100/L72,0)</f>
        <v>0</v>
      </c>
      <c r="P72" s="140">
        <f ca="1">IF(M72&gt;0,N72*100/M72,0)</f>
        <v>0</v>
      </c>
    </row>
    <row r="73" spans="1:16" ht="18.75" hidden="1" x14ac:dyDescent="0.25">
      <c r="A73" s="136"/>
      <c r="B73" s="41"/>
      <c r="C73" s="41"/>
      <c r="D73" s="41"/>
      <c r="E73" s="279" t="s">
        <v>18</v>
      </c>
      <c r="F73" s="41"/>
      <c r="G73" s="43"/>
      <c r="H73" s="141" t="s">
        <v>12</v>
      </c>
      <c r="I73" s="45"/>
      <c r="J73" s="45"/>
      <c r="K73" s="46"/>
      <c r="L73" s="50">
        <f>L76+L79</f>
        <v>0</v>
      </c>
      <c r="M73" s="50">
        <f>M76+M79</f>
        <v>0</v>
      </c>
      <c r="N73" s="50">
        <f>N76+N79</f>
        <v>0</v>
      </c>
      <c r="O73" s="50">
        <f>IF(L73&gt;0,N73*100/L73,0)</f>
        <v>0</v>
      </c>
      <c r="P73" s="50">
        <f>IF(M73&gt;0,N73*100/M73,0)</f>
        <v>0</v>
      </c>
    </row>
    <row r="74" spans="1:16" ht="18.75" hidden="1" x14ac:dyDescent="0.25">
      <c r="A74" s="136"/>
      <c r="B74" s="41"/>
      <c r="C74" s="41"/>
      <c r="D74" s="41"/>
      <c r="E74" s="254" t="s">
        <v>19</v>
      </c>
      <c r="F74" s="41"/>
      <c r="G74" s="43"/>
      <c r="H74" s="142" t="s">
        <v>12</v>
      </c>
      <c r="I74" s="45"/>
      <c r="J74" s="45"/>
      <c r="K74" s="46"/>
      <c r="L74" s="47">
        <f ca="1">L77+L80</f>
        <v>0</v>
      </c>
      <c r="M74" s="47">
        <f ca="1">M77+M80</f>
        <v>0</v>
      </c>
      <c r="N74" s="47">
        <f ca="1">N77+N80</f>
        <v>0</v>
      </c>
      <c r="O74" s="47">
        <f ca="1">IF(L74&gt;0,N74*100/L74,0)</f>
        <v>0</v>
      </c>
      <c r="P74" s="47">
        <f ca="1">IF(M74&gt;0,N74*100/M74,0)</f>
        <v>0</v>
      </c>
    </row>
    <row r="75" spans="1:16" ht="18.75" hidden="1" x14ac:dyDescent="0.25">
      <c r="A75" s="136"/>
      <c r="B75" s="41"/>
      <c r="C75" s="41"/>
      <c r="D75" s="42" t="s">
        <v>20</v>
      </c>
      <c r="E75" s="41"/>
      <c r="F75" s="41"/>
      <c r="G75" s="43"/>
      <c r="H75" s="143" t="s">
        <v>12</v>
      </c>
      <c r="I75" s="144"/>
      <c r="J75" s="144"/>
      <c r="K75" s="145"/>
      <c r="L75" s="47">
        <f ca="1">L76+L77</f>
        <v>0</v>
      </c>
      <c r="M75" s="47">
        <f ca="1">M76+M77</f>
        <v>0</v>
      </c>
      <c r="N75" s="47">
        <f ca="1">N76+N77</f>
        <v>0</v>
      </c>
      <c r="O75" s="47">
        <f ca="1">IF(L75&gt;0,N75*100/L75,0)</f>
        <v>0</v>
      </c>
      <c r="P75" s="47">
        <f ca="1">IF(M75&gt;0,N75*100/M75,0)</f>
        <v>0</v>
      </c>
    </row>
    <row r="76" spans="1:16" ht="18.75" hidden="1" x14ac:dyDescent="0.25">
      <c r="A76" s="136"/>
      <c r="B76" s="41"/>
      <c r="C76" s="41"/>
      <c r="D76" s="41"/>
      <c r="E76" s="279" t="s">
        <v>34</v>
      </c>
      <c r="F76" s="41"/>
      <c r="G76" s="43"/>
      <c r="H76" s="146" t="s">
        <v>12</v>
      </c>
      <c r="I76" s="144"/>
      <c r="J76" s="144"/>
      <c r="K76" s="145"/>
      <c r="L76" s="50">
        <v>0</v>
      </c>
      <c r="M76" s="50">
        <v>0</v>
      </c>
      <c r="N76" s="50">
        <v>0</v>
      </c>
      <c r="O76" s="50">
        <f>IF(L76&gt;0,N76*100/L76,0)</f>
        <v>0</v>
      </c>
      <c r="P76" s="50">
        <f>IF(M76&gt;0,N76*100/M76,0)</f>
        <v>0</v>
      </c>
    </row>
    <row r="77" spans="1:16" ht="18.75" hidden="1" x14ac:dyDescent="0.25">
      <c r="A77" s="136"/>
      <c r="B77" s="41"/>
      <c r="C77" s="41"/>
      <c r="D77" s="41"/>
      <c r="E77" s="254" t="s">
        <v>35</v>
      </c>
      <c r="F77" s="41"/>
      <c r="G77" s="43"/>
      <c r="H77" s="143" t="s">
        <v>12</v>
      </c>
      <c r="I77" s="144"/>
      <c r="J77" s="144"/>
      <c r="K77" s="145"/>
      <c r="L77" s="47">
        <f ca="1">IFERROR(__xludf.DUMMYFUNCTION("IMPORTRANGE(""https://docs.google.com/spreadsheets/d/1-uDff_7J0KD5mKrp0Vvzr7lt3OU09vwQwhkpOPPYv2Y/edit?usp=sharing"",""งบพรบ!AM24"")"),0)</f>
        <v>0</v>
      </c>
      <c r="M77" s="47">
        <f ca="1">IFERROR(__xludf.DUMMYFUNCTION("IMPORTRANGE(""https://docs.google.com/spreadsheets/d/1-uDff_7J0KD5mKrp0Vvzr7lt3OU09vwQwhkpOPPYv2Y/edit?usp=sharing"",""งบพรบ!AR24"")"),0)</f>
        <v>0</v>
      </c>
      <c r="N77" s="47">
        <f ca="1">IFERROR(__xludf.DUMMYFUNCTION("IMPORTRANGE(""https://docs.google.com/spreadsheets/d/1-uDff_7J0KD5mKrp0Vvzr7lt3OU09vwQwhkpOPPYv2Y/edit?usp=sharing"",""งบพรบ!AT24"")"),0)</f>
        <v>0</v>
      </c>
      <c r="O77" s="47">
        <f ca="1">IF(L77&gt;0,N77*100/L77,0)</f>
        <v>0</v>
      </c>
      <c r="P77" s="47">
        <f ca="1">IF(M77&gt;0,N77*100/M77,0)</f>
        <v>0</v>
      </c>
    </row>
    <row r="78" spans="1:16" ht="18.75" hidden="1" x14ac:dyDescent="0.25">
      <c r="A78" s="136"/>
      <c r="B78" s="41"/>
      <c r="C78" s="41"/>
      <c r="D78" s="42" t="s">
        <v>21</v>
      </c>
      <c r="E78" s="41"/>
      <c r="F78" s="41"/>
      <c r="G78" s="43"/>
      <c r="H78" s="147" t="s">
        <v>12</v>
      </c>
      <c r="I78" s="144"/>
      <c r="J78" s="144"/>
      <c r="K78" s="145"/>
      <c r="L78" s="47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</row>
    <row r="79" spans="1:16" ht="18.75" hidden="1" x14ac:dyDescent="0.25">
      <c r="A79" s="136"/>
      <c r="B79" s="41"/>
      <c r="C79" s="41"/>
      <c r="D79" s="41"/>
      <c r="E79" s="279" t="s">
        <v>18</v>
      </c>
      <c r="F79" s="41"/>
      <c r="G79" s="43"/>
      <c r="H79" s="146" t="s">
        <v>12</v>
      </c>
      <c r="I79" s="144"/>
      <c r="J79" s="144"/>
      <c r="K79" s="145"/>
      <c r="L79" s="50">
        <v>0</v>
      </c>
      <c r="M79" s="46"/>
      <c r="N79" s="46"/>
      <c r="O79" s="50">
        <f>IF(L79&gt;0,N79*100/L79,0)</f>
        <v>0</v>
      </c>
      <c r="P79" s="50">
        <f>IF(M79&gt;0,N79*100/M79,0)</f>
        <v>0</v>
      </c>
    </row>
    <row r="80" spans="1:16" ht="18.75" hidden="1" x14ac:dyDescent="0.25">
      <c r="A80" s="136"/>
      <c r="B80" s="41"/>
      <c r="C80" s="41"/>
      <c r="D80" s="41"/>
      <c r="E80" s="254" t="s">
        <v>19</v>
      </c>
      <c r="F80" s="41"/>
      <c r="G80" s="43"/>
      <c r="H80" s="147" t="s">
        <v>12</v>
      </c>
      <c r="I80" s="144"/>
      <c r="J80" s="144"/>
      <c r="K80" s="145"/>
      <c r="L80" s="47">
        <f ca="1">IFERROR(__xludf.DUMMYFUNCTION("IMPORTRANGE(""https://docs.google.com/spreadsheets/d/1-uDff_7J0KD5mKrp0Vvzr7lt3OU09vwQwhkpOPPYv2Y/edit?usp=sharing"",""งบพรบ!AP24"")"),0)</f>
        <v>0</v>
      </c>
      <c r="M80" s="47">
        <f ca="1">IFERROR(__xludf.DUMMYFUNCTION("IMPORTRANGE(""https://docs.google.com/spreadsheets/d/1-uDff_7J0KD5mKrp0Vvzr7lt3OU09vwQwhkpOPPYv2Y/edit?usp=sharing"",""งบพรบ!AS24"")"),0)</f>
        <v>0</v>
      </c>
      <c r="N80" s="47">
        <f ca="1">IFERROR(__xludf.DUMMYFUNCTION("IMPORTRANGE(""https://docs.google.com/spreadsheets/d/1-uDff_7J0KD5mKrp0Vvzr7lt3OU09vwQwhkpOPPYv2Y/edit?usp=sharing"",""งบพรบ!AU24"")"),0)</f>
        <v>0</v>
      </c>
      <c r="O80" s="47">
        <f ca="1">IF(L80&gt;0,N80*100/L80,0)</f>
        <v>0</v>
      </c>
      <c r="P80" s="47">
        <f ca="1">IF(M80&gt;0,N80*100/M80,0)</f>
        <v>0</v>
      </c>
    </row>
    <row r="81" spans="1:16" ht="19.5" hidden="1" x14ac:dyDescent="0.3">
      <c r="A81" s="148"/>
      <c r="B81" s="149"/>
      <c r="C81" s="197" t="s">
        <v>16</v>
      </c>
      <c r="D81" s="395" t="s">
        <v>36</v>
      </c>
      <c r="E81" s="151"/>
      <c r="F81" s="151"/>
      <c r="G81" s="152"/>
      <c r="H81" s="153"/>
      <c r="I81" s="144"/>
      <c r="J81" s="144"/>
      <c r="K81" s="145"/>
      <c r="L81" s="145"/>
      <c r="M81" s="145"/>
      <c r="N81" s="145"/>
      <c r="O81" s="145"/>
      <c r="P81" s="145"/>
    </row>
    <row r="82" spans="1:16" ht="19.5" hidden="1" x14ac:dyDescent="0.3">
      <c r="A82" s="148"/>
      <c r="B82" s="149"/>
      <c r="C82" s="149"/>
      <c r="D82" s="154" t="s">
        <v>37</v>
      </c>
      <c r="E82" s="155"/>
      <c r="F82" s="155"/>
      <c r="G82" s="153"/>
      <c r="H82" s="156" t="s">
        <v>32</v>
      </c>
      <c r="I82" s="157">
        <f ca="1">I84+I86+I88</f>
        <v>0</v>
      </c>
      <c r="J82" s="157">
        <f>J84+J86+J88</f>
        <v>0</v>
      </c>
      <c r="K82" s="158">
        <f ca="1">IF(I82&gt;0,J82*100/I82,0)</f>
        <v>0</v>
      </c>
      <c r="L82" s="145"/>
      <c r="M82" s="145"/>
      <c r="N82" s="145"/>
      <c r="O82" s="145"/>
      <c r="P82" s="145"/>
    </row>
    <row r="83" spans="1:16" ht="19.5" hidden="1" x14ac:dyDescent="0.3">
      <c r="A83" s="148"/>
      <c r="B83" s="149"/>
      <c r="C83" s="149"/>
      <c r="D83" s="149"/>
      <c r="E83" s="155"/>
      <c r="F83" s="155"/>
      <c r="G83" s="153"/>
      <c r="H83" s="156" t="s">
        <v>33</v>
      </c>
      <c r="I83" s="157">
        <f ca="1">I85+I87+I89</f>
        <v>0</v>
      </c>
      <c r="J83" s="157">
        <f>J85+J87+J89</f>
        <v>0</v>
      </c>
      <c r="K83" s="158">
        <f ca="1">IF(I83&gt;0,J83*100/I83,0)</f>
        <v>0</v>
      </c>
      <c r="L83" s="145"/>
      <c r="M83" s="145"/>
      <c r="N83" s="145"/>
      <c r="O83" s="145"/>
      <c r="P83" s="145"/>
    </row>
    <row r="84" spans="1:16" ht="18.75" hidden="1" x14ac:dyDescent="0.25">
      <c r="A84" s="148"/>
      <c r="B84" s="149"/>
      <c r="C84" s="149"/>
      <c r="D84" s="149"/>
      <c r="E84" s="159" t="s">
        <v>38</v>
      </c>
      <c r="F84" s="155"/>
      <c r="G84" s="153"/>
      <c r="H84" s="251" t="s">
        <v>32</v>
      </c>
      <c r="I84" s="161">
        <f ca="1">IFERROR(__xludf.DUMMYFUNCTION("IMPORTRANGE(""https://docs.google.com/spreadsheets/d/1eHaY18a8A9IcSdp1K8H6x8fbOy06t2VsZHhMHf-1x7Y/edit?usp=sharing"",""แผน!H24"")"),0)</f>
        <v>0</v>
      </c>
      <c r="J84" s="250">
        <v>0</v>
      </c>
      <c r="K84" s="163">
        <f ca="1">IF(I84&gt;0,J84*100/I84,0)</f>
        <v>0</v>
      </c>
      <c r="L84" s="145"/>
      <c r="M84" s="145"/>
      <c r="N84" s="145"/>
      <c r="O84" s="145"/>
      <c r="P84" s="145"/>
    </row>
    <row r="85" spans="1:16" ht="18.75" hidden="1" x14ac:dyDescent="0.25">
      <c r="A85" s="148"/>
      <c r="B85" s="149"/>
      <c r="C85" s="149"/>
      <c r="D85" s="149"/>
      <c r="E85" s="155"/>
      <c r="F85" s="155"/>
      <c r="G85" s="153"/>
      <c r="H85" s="251" t="s">
        <v>33</v>
      </c>
      <c r="I85" s="161">
        <f ca="1">IFERROR(__xludf.DUMMYFUNCTION("IMPORTRANGE(""https://docs.google.com/spreadsheets/d/1eHaY18a8A9IcSdp1K8H6x8fbOy06t2VsZHhMHf-1x7Y/edit?usp=sharing"",""แผน!I24"")"),0)</f>
        <v>0</v>
      </c>
      <c r="J85" s="250">
        <v>0</v>
      </c>
      <c r="K85" s="163">
        <f ca="1">IF(I85&gt;0,J85*100/I85,0)</f>
        <v>0</v>
      </c>
      <c r="L85" s="145"/>
      <c r="M85" s="145"/>
      <c r="N85" s="145"/>
      <c r="O85" s="145"/>
      <c r="P85" s="145"/>
    </row>
    <row r="86" spans="1:16" ht="18.75" hidden="1" x14ac:dyDescent="0.25">
      <c r="A86" s="148"/>
      <c r="B86" s="149"/>
      <c r="C86" s="149"/>
      <c r="D86" s="149"/>
      <c r="E86" s="159" t="s">
        <v>39</v>
      </c>
      <c r="F86" s="155"/>
      <c r="G86" s="153"/>
      <c r="H86" s="251" t="s">
        <v>32</v>
      </c>
      <c r="I86" s="161">
        <f ca="1">IFERROR(__xludf.DUMMYFUNCTION("IMPORTRANGE(""https://docs.google.com/spreadsheets/d/1eHaY18a8A9IcSdp1K8H6x8fbOy06t2VsZHhMHf-1x7Y/edit?usp=sharing"",""แผน!F24"")"),0)</f>
        <v>0</v>
      </c>
      <c r="J86" s="250">
        <v>0</v>
      </c>
      <c r="K86" s="163">
        <f ca="1">IF(I86&gt;0,J86*100/I86,0)</f>
        <v>0</v>
      </c>
      <c r="L86" s="145"/>
      <c r="M86" s="145"/>
      <c r="N86" s="145"/>
      <c r="O86" s="145"/>
      <c r="P86" s="145"/>
    </row>
    <row r="87" spans="1:16" ht="18.75" hidden="1" x14ac:dyDescent="0.25">
      <c r="A87" s="148"/>
      <c r="B87" s="149"/>
      <c r="C87" s="149"/>
      <c r="D87" s="149"/>
      <c r="E87" s="155"/>
      <c r="F87" s="155"/>
      <c r="G87" s="153"/>
      <c r="H87" s="251" t="s">
        <v>33</v>
      </c>
      <c r="I87" s="161">
        <f ca="1">IFERROR(__xludf.DUMMYFUNCTION("IMPORTRANGE(""https://docs.google.com/spreadsheets/d/1eHaY18a8A9IcSdp1K8H6x8fbOy06t2VsZHhMHf-1x7Y/edit?usp=sharing"",""แผน!G24"")"),0)</f>
        <v>0</v>
      </c>
      <c r="J87" s="250">
        <v>0</v>
      </c>
      <c r="K87" s="163">
        <f ca="1">IF(I87&gt;0,J87*100/I87,0)</f>
        <v>0</v>
      </c>
      <c r="L87" s="145"/>
      <c r="M87" s="145"/>
      <c r="N87" s="145"/>
      <c r="O87" s="145"/>
      <c r="P87" s="145"/>
    </row>
    <row r="88" spans="1:16" ht="18.75" hidden="1" x14ac:dyDescent="0.25">
      <c r="A88" s="148"/>
      <c r="B88" s="149"/>
      <c r="C88" s="149"/>
      <c r="D88" s="149"/>
      <c r="E88" s="159" t="s">
        <v>40</v>
      </c>
      <c r="F88" s="155"/>
      <c r="G88" s="153"/>
      <c r="H88" s="251" t="s">
        <v>32</v>
      </c>
      <c r="I88" s="161">
        <f ca="1">IFERROR(__xludf.DUMMYFUNCTION("IMPORTRANGE(""https://docs.google.com/spreadsheets/d/1eHaY18a8A9IcSdp1K8H6x8fbOy06t2VsZHhMHf-1x7Y/edit?usp=sharing"",""แผน!D24"")"),0)</f>
        <v>0</v>
      </c>
      <c r="J88" s="250">
        <v>0</v>
      </c>
      <c r="K88" s="163">
        <f ca="1">IF(I88&gt;0,J88*100/I88,0)</f>
        <v>0</v>
      </c>
      <c r="L88" s="145"/>
      <c r="M88" s="145"/>
      <c r="N88" s="145"/>
      <c r="O88" s="145"/>
      <c r="P88" s="145"/>
    </row>
    <row r="89" spans="1:16" ht="18.75" hidden="1" x14ac:dyDescent="0.25">
      <c r="A89" s="148"/>
      <c r="B89" s="149"/>
      <c r="C89" s="149"/>
      <c r="D89" s="149"/>
      <c r="E89" s="155"/>
      <c r="F89" s="155"/>
      <c r="G89" s="153"/>
      <c r="H89" s="251" t="s">
        <v>33</v>
      </c>
      <c r="I89" s="161">
        <f ca="1">IFERROR(__xludf.DUMMYFUNCTION("IMPORTRANGE(""https://docs.google.com/spreadsheets/d/1eHaY18a8A9IcSdp1K8H6x8fbOy06t2VsZHhMHf-1x7Y/edit?usp=sharing"",""แผน!E24"")"),0)</f>
        <v>0</v>
      </c>
      <c r="J89" s="250">
        <v>0</v>
      </c>
      <c r="K89" s="163">
        <f ca="1">IF(I89&gt;0,J89*100/I89,0)</f>
        <v>0</v>
      </c>
      <c r="L89" s="145"/>
      <c r="M89" s="145"/>
      <c r="N89" s="145"/>
      <c r="O89" s="145"/>
      <c r="P89" s="145"/>
    </row>
    <row r="90" spans="1:16" ht="18.75" hidden="1" x14ac:dyDescent="0.25">
      <c r="A90" s="148"/>
      <c r="B90" s="149"/>
      <c r="C90" s="149"/>
      <c r="D90" s="154" t="s">
        <v>41</v>
      </c>
      <c r="E90" s="155"/>
      <c r="F90" s="155"/>
      <c r="G90" s="153"/>
      <c r="H90" s="164" t="s">
        <v>32</v>
      </c>
      <c r="I90" s="161">
        <f ca="1">IFERROR(__xludf.DUMMYFUNCTION("IMPORTRANGE(""https://docs.google.com/spreadsheets/d/1eHaY18a8A9IcSdp1K8H6x8fbOy06t2VsZHhMHf-1x7Y/edit?usp=sharing"",""แผน!J24"")"),0)</f>
        <v>0</v>
      </c>
      <c r="J90" s="250">
        <v>0</v>
      </c>
      <c r="K90" s="163">
        <f ca="1">IF(I90&gt;0,J90*100/I90,0)</f>
        <v>0</v>
      </c>
      <c r="L90" s="145"/>
      <c r="M90" s="145"/>
      <c r="N90" s="145"/>
      <c r="O90" s="145"/>
      <c r="P90" s="145"/>
    </row>
    <row r="91" spans="1:16" ht="19.5" hidden="1" x14ac:dyDescent="0.3">
      <c r="A91" s="125" t="s">
        <v>42</v>
      </c>
      <c r="B91" s="126"/>
      <c r="C91" s="127"/>
      <c r="D91" s="126"/>
      <c r="E91" s="126"/>
      <c r="F91" s="126"/>
      <c r="G91" s="128"/>
      <c r="H91" s="128"/>
      <c r="I91" s="129"/>
      <c r="J91" s="129"/>
      <c r="K91" s="130"/>
      <c r="L91" s="130"/>
      <c r="M91" s="130"/>
      <c r="N91" s="130"/>
      <c r="O91" s="130"/>
      <c r="P91" s="130"/>
    </row>
    <row r="92" spans="1:16" ht="19.5" hidden="1" x14ac:dyDescent="0.3">
      <c r="A92" s="131"/>
      <c r="B92" s="132" t="s">
        <v>43</v>
      </c>
      <c r="C92" s="26"/>
      <c r="D92" s="133"/>
      <c r="E92" s="26"/>
      <c r="F92" s="26"/>
      <c r="G92" s="29"/>
      <c r="H92" s="134" t="s">
        <v>44</v>
      </c>
      <c r="I92" s="135">
        <f ca="1">I108</f>
        <v>0</v>
      </c>
      <c r="J92" s="135">
        <f>J108</f>
        <v>0</v>
      </c>
      <c r="K92" s="33">
        <f ca="1">IF(I92&gt;0,J92*100/I92,0)</f>
        <v>0</v>
      </c>
      <c r="L92" s="32"/>
      <c r="M92" s="32"/>
      <c r="N92" s="32"/>
      <c r="O92" s="32"/>
      <c r="P92" s="32"/>
    </row>
    <row r="93" spans="1:16" ht="19.5" hidden="1" x14ac:dyDescent="0.3">
      <c r="A93" s="131"/>
      <c r="B93" s="26"/>
      <c r="C93" s="26"/>
      <c r="D93" s="133"/>
      <c r="E93" s="26"/>
      <c r="F93" s="26"/>
      <c r="G93" s="29"/>
      <c r="H93" s="134" t="s">
        <v>33</v>
      </c>
      <c r="I93" s="135">
        <f ca="1">I109</f>
        <v>0</v>
      </c>
      <c r="J93" s="135">
        <f>J109</f>
        <v>0</v>
      </c>
      <c r="K93" s="33">
        <f ca="1">IF(I93&gt;0,J93*100/I93,0)</f>
        <v>0</v>
      </c>
      <c r="L93" s="32"/>
      <c r="M93" s="32"/>
      <c r="N93" s="32"/>
      <c r="O93" s="32"/>
      <c r="P93" s="32"/>
    </row>
    <row r="94" spans="1:16" ht="19.5" hidden="1" x14ac:dyDescent="0.3">
      <c r="A94" s="136"/>
      <c r="B94" s="41"/>
      <c r="C94" s="197" t="s">
        <v>16</v>
      </c>
      <c r="D94" s="397" t="s">
        <v>17</v>
      </c>
      <c r="E94" s="41"/>
      <c r="F94" s="41"/>
      <c r="G94" s="43"/>
      <c r="H94" s="139" t="s">
        <v>12</v>
      </c>
      <c r="I94" s="45"/>
      <c r="J94" s="45"/>
      <c r="K94" s="46"/>
      <c r="L94" s="140">
        <f ca="1">L95+L96</f>
        <v>0</v>
      </c>
      <c r="M94" s="140">
        <f ca="1">M95+M96</f>
        <v>0</v>
      </c>
      <c r="N94" s="140">
        <f ca="1">N95+N96</f>
        <v>0</v>
      </c>
      <c r="O94" s="140">
        <f ca="1">IF(L94&gt;0,N94*100/L94,0)</f>
        <v>0</v>
      </c>
      <c r="P94" s="140">
        <f ca="1">IF(M94&gt;0,N94*100/M94,0)</f>
        <v>0</v>
      </c>
    </row>
    <row r="95" spans="1:16" ht="18.75" hidden="1" x14ac:dyDescent="0.25">
      <c r="A95" s="136"/>
      <c r="B95" s="41"/>
      <c r="C95" s="41"/>
      <c r="D95" s="41"/>
      <c r="E95" s="279" t="s">
        <v>18</v>
      </c>
      <c r="F95" s="41"/>
      <c r="G95" s="43"/>
      <c r="H95" s="141" t="s">
        <v>12</v>
      </c>
      <c r="I95" s="45"/>
      <c r="J95" s="45"/>
      <c r="K95" s="46"/>
      <c r="L95" s="50">
        <f>L98+L101</f>
        <v>0</v>
      </c>
      <c r="M95" s="50">
        <f>M98+M101</f>
        <v>0</v>
      </c>
      <c r="N95" s="50">
        <f>N98+N101</f>
        <v>0</v>
      </c>
      <c r="O95" s="50">
        <f>IF(L95&gt;0,N95*100/L95,0)</f>
        <v>0</v>
      </c>
      <c r="P95" s="50">
        <f>IF(M95&gt;0,N95*100/M95,0)</f>
        <v>0</v>
      </c>
    </row>
    <row r="96" spans="1:16" ht="18.75" hidden="1" x14ac:dyDescent="0.25">
      <c r="A96" s="136"/>
      <c r="B96" s="41"/>
      <c r="C96" s="41"/>
      <c r="D96" s="41"/>
      <c r="E96" s="254" t="s">
        <v>19</v>
      </c>
      <c r="F96" s="41"/>
      <c r="G96" s="43"/>
      <c r="H96" s="142" t="s">
        <v>12</v>
      </c>
      <c r="I96" s="45"/>
      <c r="J96" s="45"/>
      <c r="K96" s="46"/>
      <c r="L96" s="47">
        <f ca="1">L99+L102</f>
        <v>0</v>
      </c>
      <c r="M96" s="47">
        <f ca="1">M99+M102</f>
        <v>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</row>
    <row r="97" spans="1:16" ht="18.75" hidden="1" x14ac:dyDescent="0.25">
      <c r="A97" s="136"/>
      <c r="B97" s="41"/>
      <c r="C97" s="41"/>
      <c r="D97" s="42" t="s">
        <v>20</v>
      </c>
      <c r="E97" s="41"/>
      <c r="F97" s="41"/>
      <c r="G97" s="43"/>
      <c r="H97" s="143" t="s">
        <v>12</v>
      </c>
      <c r="I97" s="144"/>
      <c r="J97" s="144"/>
      <c r="K97" s="145"/>
      <c r="L97" s="47">
        <f ca="1">L98+L99</f>
        <v>0</v>
      </c>
      <c r="M97" s="47">
        <f ca="1">M98+M99</f>
        <v>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</row>
    <row r="98" spans="1:16" ht="18.75" hidden="1" x14ac:dyDescent="0.25">
      <c r="A98" s="136"/>
      <c r="B98" s="41"/>
      <c r="C98" s="41"/>
      <c r="D98" s="41"/>
      <c r="E98" s="279" t="s">
        <v>34</v>
      </c>
      <c r="F98" s="41"/>
      <c r="G98" s="43"/>
      <c r="H98" s="146" t="s">
        <v>12</v>
      </c>
      <c r="I98" s="144"/>
      <c r="J98" s="144"/>
      <c r="K98" s="145"/>
      <c r="L98" s="50">
        <v>0</v>
      </c>
      <c r="M98" s="50">
        <v>0</v>
      </c>
      <c r="N98" s="50">
        <v>0</v>
      </c>
      <c r="O98" s="50">
        <f>IF(L98&gt;0,N98*100/L98,0)</f>
        <v>0</v>
      </c>
      <c r="P98" s="50">
        <f>IF(M98&gt;0,N98*100/M98,0)</f>
        <v>0</v>
      </c>
    </row>
    <row r="99" spans="1:16" ht="18.75" hidden="1" x14ac:dyDescent="0.25">
      <c r="A99" s="136"/>
      <c r="B99" s="41"/>
      <c r="C99" s="41"/>
      <c r="D99" s="41"/>
      <c r="E99" s="254" t="s">
        <v>35</v>
      </c>
      <c r="F99" s="41"/>
      <c r="G99" s="43"/>
      <c r="H99" s="143" t="s">
        <v>12</v>
      </c>
      <c r="I99" s="144"/>
      <c r="J99" s="144"/>
      <c r="K99" s="145"/>
      <c r="L99" s="47">
        <f ca="1">IFERROR(__xludf.DUMMYFUNCTION("IMPORTRANGE(""https://docs.google.com/spreadsheets/d/1-uDff_7J0KD5mKrp0Vvzr7lt3OU09vwQwhkpOPPYv2Y/edit?usp=sharing"",""งบพรบ!AW24"")"),0)</f>
        <v>0</v>
      </c>
      <c r="M99" s="47">
        <f ca="1">IFERROR(__xludf.DUMMYFUNCTION("IMPORTRANGE(""https://docs.google.com/spreadsheets/d/1-uDff_7J0KD5mKrp0Vvzr7lt3OU09vwQwhkpOPPYv2Y/edit?usp=sharing"",""งบพรบ!BB24"")"),0)</f>
        <v>0</v>
      </c>
      <c r="N99" s="47">
        <f ca="1">IFERROR(__xludf.DUMMYFUNCTION("IMPORTRANGE(""https://docs.google.com/spreadsheets/d/1-uDff_7J0KD5mKrp0Vvzr7lt3OU09vwQwhkpOPPYv2Y/edit?usp=sharing"",""งบพรบ!BD24"")"),0)</f>
        <v>0</v>
      </c>
      <c r="O99" s="47">
        <f ca="1">IF(L99&gt;0,N99*100/L99,0)</f>
        <v>0</v>
      </c>
      <c r="P99" s="47">
        <f ca="1">IF(M99&gt;0,N99*100/M99,0)</f>
        <v>0</v>
      </c>
    </row>
    <row r="100" spans="1:16" ht="18.75" hidden="1" x14ac:dyDescent="0.25">
      <c r="A100" s="136"/>
      <c r="B100" s="41"/>
      <c r="C100" s="41"/>
      <c r="D100" s="42" t="s">
        <v>21</v>
      </c>
      <c r="E100" s="41"/>
      <c r="F100" s="41"/>
      <c r="G100" s="43"/>
      <c r="H100" s="147" t="s">
        <v>12</v>
      </c>
      <c r="I100" s="144"/>
      <c r="J100" s="144"/>
      <c r="K100" s="145"/>
      <c r="L100" s="47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</row>
    <row r="101" spans="1:16" ht="18.75" hidden="1" x14ac:dyDescent="0.25">
      <c r="A101" s="136"/>
      <c r="B101" s="41"/>
      <c r="C101" s="41"/>
      <c r="D101" s="41"/>
      <c r="E101" s="279" t="s">
        <v>18</v>
      </c>
      <c r="F101" s="41"/>
      <c r="G101" s="43"/>
      <c r="H101" s="146" t="s">
        <v>12</v>
      </c>
      <c r="I101" s="144"/>
      <c r="J101" s="144"/>
      <c r="K101" s="145"/>
      <c r="L101" s="50">
        <v>0</v>
      </c>
      <c r="M101" s="50">
        <v>0</v>
      </c>
      <c r="N101" s="50">
        <v>0</v>
      </c>
      <c r="O101" s="50">
        <f>IF(L101&gt;0,N101*100/L101,0)</f>
        <v>0</v>
      </c>
      <c r="P101" s="50">
        <f>IF(M101&gt;0,N101*100/M101,0)</f>
        <v>0</v>
      </c>
    </row>
    <row r="102" spans="1:16" ht="18.75" hidden="1" x14ac:dyDescent="0.25">
      <c r="A102" s="136"/>
      <c r="B102" s="41"/>
      <c r="C102" s="41"/>
      <c r="D102" s="41"/>
      <c r="E102" s="254" t="s">
        <v>19</v>
      </c>
      <c r="F102" s="41"/>
      <c r="G102" s="43"/>
      <c r="H102" s="147" t="s">
        <v>12</v>
      </c>
      <c r="I102" s="144"/>
      <c r="J102" s="144"/>
      <c r="K102" s="145"/>
      <c r="L102" s="47">
        <f ca="1">IFERROR(__xludf.DUMMYFUNCTION("IMPORTRANGE(""https://docs.google.com/spreadsheets/d/1-uDff_7J0KD5mKrp0Vvzr7lt3OU09vwQwhkpOPPYv2Y/edit?usp=sharing"",""งบพรบ!AZ24"")"),0)</f>
        <v>0</v>
      </c>
      <c r="M102" s="47">
        <f ca="1">IFERROR(__xludf.DUMMYFUNCTION("IMPORTRANGE(""https://docs.google.com/spreadsheets/d/1-uDff_7J0KD5mKrp0Vvzr7lt3OU09vwQwhkpOPPYv2Y/edit?usp=sharing"",""งบพรบ!BC24"")"),0)</f>
        <v>0</v>
      </c>
      <c r="N102" s="47">
        <f ca="1">IFERROR(__xludf.DUMMYFUNCTION("IMPORTRANGE(""https://docs.google.com/spreadsheets/d/1-uDff_7J0KD5mKrp0Vvzr7lt3OU09vwQwhkpOPPYv2Y/edit?usp=sharing"",""งบพรบ!BE24"")"),0)</f>
        <v>0</v>
      </c>
      <c r="O102" s="47">
        <f ca="1">IF(L102&gt;0,N102*100/L102,0)</f>
        <v>0</v>
      </c>
      <c r="P102" s="47">
        <f ca="1">IF(M102&gt;0,N102*100/M102,0)</f>
        <v>0</v>
      </c>
    </row>
    <row r="103" spans="1:16" ht="19.5" hidden="1" x14ac:dyDescent="0.3">
      <c r="A103" s="148"/>
      <c r="B103" s="149"/>
      <c r="C103" s="197" t="s">
        <v>16</v>
      </c>
      <c r="D103" s="395" t="s">
        <v>36</v>
      </c>
      <c r="E103" s="151"/>
      <c r="F103" s="151"/>
      <c r="G103" s="152"/>
      <c r="H103" s="153"/>
      <c r="I103" s="144"/>
      <c r="J103" s="45"/>
      <c r="K103" s="46"/>
      <c r="L103" s="46"/>
      <c r="M103" s="46"/>
      <c r="N103" s="46"/>
      <c r="O103" s="145"/>
      <c r="P103" s="145"/>
    </row>
    <row r="104" spans="1:16" ht="12.75" hidden="1" x14ac:dyDescent="0.2">
      <c r="A104" s="165"/>
      <c r="B104" s="166"/>
      <c r="C104" s="166"/>
      <c r="D104" s="16"/>
      <c r="E104" s="16"/>
      <c r="F104" s="16"/>
      <c r="G104" s="17"/>
      <c r="H104" s="17"/>
      <c r="I104" s="18"/>
      <c r="J104" s="18"/>
      <c r="K104" s="19"/>
      <c r="L104" s="19"/>
      <c r="M104" s="19"/>
      <c r="N104" s="19"/>
      <c r="O104" s="19"/>
      <c r="P104" s="19"/>
    </row>
    <row r="105" spans="1:16" ht="12.75" hidden="1" x14ac:dyDescent="0.2">
      <c r="A105" s="165"/>
      <c r="B105" s="166"/>
      <c r="C105" s="166"/>
      <c r="D105" s="16"/>
      <c r="E105" s="16"/>
      <c r="F105" s="16"/>
      <c r="G105" s="17"/>
      <c r="H105" s="17"/>
      <c r="I105" s="18"/>
      <c r="J105" s="18"/>
      <c r="K105" s="19"/>
      <c r="L105" s="19"/>
      <c r="M105" s="19"/>
      <c r="N105" s="19"/>
      <c r="O105" s="19"/>
      <c r="P105" s="19"/>
    </row>
    <row r="106" spans="1:16" ht="12.75" hidden="1" x14ac:dyDescent="0.2">
      <c r="A106" s="165"/>
      <c r="B106" s="166"/>
      <c r="C106" s="166"/>
      <c r="D106" s="166"/>
      <c r="E106" s="16"/>
      <c r="F106" s="16"/>
      <c r="G106" s="17"/>
      <c r="H106" s="17"/>
      <c r="I106" s="18"/>
      <c r="J106" s="18"/>
      <c r="K106" s="19"/>
      <c r="L106" s="19"/>
      <c r="M106" s="19"/>
      <c r="N106" s="19"/>
      <c r="O106" s="19"/>
      <c r="P106" s="19"/>
    </row>
    <row r="107" spans="1:16" ht="19.5" hidden="1" x14ac:dyDescent="0.3">
      <c r="A107" s="148"/>
      <c r="B107" s="149"/>
      <c r="C107" s="149"/>
      <c r="D107" s="167" t="s">
        <v>45</v>
      </c>
      <c r="E107" s="168"/>
      <c r="F107" s="155"/>
      <c r="G107" s="153"/>
      <c r="H107" s="43"/>
      <c r="I107" s="45"/>
      <c r="J107" s="45"/>
      <c r="K107" s="46"/>
      <c r="L107" s="46"/>
      <c r="M107" s="46"/>
      <c r="N107" s="46"/>
      <c r="O107" s="145"/>
      <c r="P107" s="145"/>
    </row>
    <row r="108" spans="1:16" ht="18.75" hidden="1" x14ac:dyDescent="0.25">
      <c r="A108" s="148"/>
      <c r="B108" s="149"/>
      <c r="C108" s="149"/>
      <c r="D108" s="159" t="s">
        <v>46</v>
      </c>
      <c r="E108" s="155"/>
      <c r="F108" s="155"/>
      <c r="G108" s="153"/>
      <c r="H108" s="44" t="s">
        <v>44</v>
      </c>
      <c r="I108" s="169">
        <f ca="1">IFERROR(__xludf.DUMMYFUNCTION("IMPORTRANGE(""https://docs.google.com/spreadsheets/d/1eHaY18a8A9IcSdp1K8H6x8fbOy06t2VsZHhMHf-1x7Y/edit?usp=sharing"",""แผน!N24"")"),0)</f>
        <v>0</v>
      </c>
      <c r="J108" s="250">
        <v>0</v>
      </c>
      <c r="K108" s="47">
        <f ca="1">IF(I108&gt;0,J108*100/I108,0)</f>
        <v>0</v>
      </c>
      <c r="L108" s="46"/>
      <c r="M108" s="46"/>
      <c r="N108" s="46"/>
      <c r="O108" s="145"/>
      <c r="P108" s="145"/>
    </row>
    <row r="109" spans="1:16" ht="18.75" hidden="1" x14ac:dyDescent="0.25">
      <c r="A109" s="148"/>
      <c r="B109" s="149"/>
      <c r="C109" s="149"/>
      <c r="D109" s="159" t="s">
        <v>47</v>
      </c>
      <c r="E109" s="155"/>
      <c r="F109" s="155"/>
      <c r="G109" s="153"/>
      <c r="H109" s="44" t="s">
        <v>33</v>
      </c>
      <c r="I109" s="169">
        <f ca="1">IFERROR(__xludf.DUMMYFUNCTION("IMPORTRANGE(""https://docs.google.com/spreadsheets/d/1eHaY18a8A9IcSdp1K8H6x8fbOy06t2VsZHhMHf-1x7Y/edit?usp=sharing"",""แผน!O24"")"),0)</f>
        <v>0</v>
      </c>
      <c r="J109" s="250">
        <v>0</v>
      </c>
      <c r="K109" s="47">
        <f ca="1">IF(I109&gt;0,J109*100/I109,0)</f>
        <v>0</v>
      </c>
      <c r="L109" s="46"/>
      <c r="M109" s="46"/>
      <c r="N109" s="46"/>
      <c r="O109" s="145"/>
      <c r="P109" s="145"/>
    </row>
    <row r="110" spans="1:16" ht="12.75" hidden="1" x14ac:dyDescent="0.2">
      <c r="A110" s="165"/>
      <c r="B110" s="166"/>
      <c r="C110" s="166"/>
      <c r="D110" s="16"/>
      <c r="E110" s="16"/>
      <c r="F110" s="16"/>
      <c r="G110" s="17"/>
      <c r="H110" s="17"/>
      <c r="I110" s="18"/>
      <c r="J110" s="18"/>
      <c r="K110" s="19"/>
      <c r="L110" s="19"/>
      <c r="M110" s="19"/>
      <c r="N110" s="19"/>
      <c r="O110" s="19"/>
      <c r="P110" s="19"/>
    </row>
    <row r="111" spans="1:16" ht="12.75" hidden="1" x14ac:dyDescent="0.2">
      <c r="A111" s="165"/>
      <c r="B111" s="166"/>
      <c r="C111" s="166"/>
      <c r="D111" s="16"/>
      <c r="E111" s="16"/>
      <c r="F111" s="16"/>
      <c r="G111" s="17"/>
      <c r="H111" s="17"/>
      <c r="I111" s="18"/>
      <c r="J111" s="18"/>
      <c r="K111" s="19"/>
      <c r="L111" s="19"/>
      <c r="M111" s="19"/>
      <c r="N111" s="19"/>
      <c r="O111" s="19"/>
      <c r="P111" s="19"/>
    </row>
    <row r="112" spans="1:16" ht="12.75" hidden="1" x14ac:dyDescent="0.2">
      <c r="A112" s="165"/>
      <c r="B112" s="166"/>
      <c r="C112" s="166"/>
      <c r="D112" s="16"/>
      <c r="E112" s="16"/>
      <c r="F112" s="16"/>
      <c r="G112" s="17"/>
      <c r="H112" s="17"/>
      <c r="I112" s="18"/>
      <c r="J112" s="18"/>
      <c r="K112" s="19"/>
      <c r="L112" s="19"/>
      <c r="M112" s="19"/>
      <c r="N112" s="19"/>
      <c r="O112" s="19"/>
      <c r="P112" s="19"/>
    </row>
    <row r="113" spans="1:16" ht="12.75" hidden="1" x14ac:dyDescent="0.2">
      <c r="A113" s="165"/>
      <c r="B113" s="166"/>
      <c r="C113" s="166"/>
      <c r="D113" s="16"/>
      <c r="E113" s="16"/>
      <c r="F113" s="16"/>
      <c r="G113" s="17"/>
      <c r="H113" s="17"/>
      <c r="I113" s="18"/>
      <c r="J113" s="18"/>
      <c r="K113" s="19"/>
      <c r="L113" s="19"/>
      <c r="M113" s="19"/>
      <c r="N113" s="19"/>
      <c r="O113" s="19"/>
      <c r="P113" s="19"/>
    </row>
    <row r="114" spans="1:16" ht="12.75" hidden="1" x14ac:dyDescent="0.2">
      <c r="A114" s="165"/>
      <c r="B114" s="166"/>
      <c r="C114" s="166"/>
      <c r="D114" s="16"/>
      <c r="E114" s="16"/>
      <c r="F114" s="16"/>
      <c r="G114" s="17"/>
      <c r="H114" s="17"/>
      <c r="I114" s="18"/>
      <c r="J114" s="18"/>
      <c r="K114" s="19"/>
      <c r="L114" s="19"/>
      <c r="M114" s="19"/>
      <c r="N114" s="19"/>
      <c r="O114" s="19"/>
      <c r="P114" s="19"/>
    </row>
    <row r="115" spans="1:16" ht="12.75" hidden="1" x14ac:dyDescent="0.2">
      <c r="A115" s="165"/>
      <c r="B115" s="166"/>
      <c r="C115" s="166"/>
      <c r="D115" s="16"/>
      <c r="E115" s="16"/>
      <c r="F115" s="16"/>
      <c r="G115" s="17"/>
      <c r="H115" s="17"/>
      <c r="I115" s="18"/>
      <c r="J115" s="18"/>
      <c r="K115" s="19"/>
      <c r="L115" s="19"/>
      <c r="M115" s="19"/>
      <c r="N115" s="19"/>
      <c r="O115" s="19"/>
      <c r="P115" s="19"/>
    </row>
    <row r="116" spans="1:16" ht="12.75" hidden="1" x14ac:dyDescent="0.2">
      <c r="A116" s="165"/>
      <c r="B116" s="166"/>
      <c r="C116" s="166"/>
      <c r="D116" s="16"/>
      <c r="E116" s="16"/>
      <c r="F116" s="16"/>
      <c r="G116" s="17"/>
      <c r="H116" s="17"/>
      <c r="I116" s="18"/>
      <c r="J116" s="18"/>
      <c r="K116" s="19"/>
      <c r="L116" s="19"/>
      <c r="M116" s="19"/>
      <c r="N116" s="19"/>
      <c r="O116" s="19"/>
      <c r="P116" s="19"/>
    </row>
    <row r="117" spans="1:16" ht="18.75" hidden="1" x14ac:dyDescent="0.25">
      <c r="A117" s="148"/>
      <c r="B117" s="149"/>
      <c r="C117" s="149"/>
      <c r="D117" s="159" t="s">
        <v>48</v>
      </c>
      <c r="E117" s="155"/>
      <c r="F117" s="155"/>
      <c r="G117" s="153"/>
      <c r="H117" s="251" t="s">
        <v>33</v>
      </c>
      <c r="I117" s="161">
        <f ca="1">IFERROR(__xludf.DUMMYFUNCTION("IMPORTRANGE(""https://docs.google.com/spreadsheets/d/1eHaY18a8A9IcSdp1K8H6x8fbOy06t2VsZHhMHf-1x7Y/edit?usp=sharing"",""แผน!R24"")"),0)</f>
        <v>0</v>
      </c>
      <c r="J117" s="250">
        <v>0</v>
      </c>
      <c r="K117" s="47">
        <f ca="1">IF(I117&gt;0,J117*100/I117,0)</f>
        <v>0</v>
      </c>
      <c r="L117" s="46"/>
      <c r="M117" s="46"/>
      <c r="N117" s="46"/>
      <c r="O117" s="145"/>
      <c r="P117" s="145"/>
    </row>
    <row r="118" spans="1:16" ht="12.75" hidden="1" x14ac:dyDescent="0.2">
      <c r="A118" s="165"/>
      <c r="B118" s="166"/>
      <c r="C118" s="166"/>
      <c r="D118" s="166"/>
      <c r="E118" s="16"/>
      <c r="F118" s="16"/>
      <c r="G118" s="17"/>
      <c r="H118" s="17"/>
      <c r="I118" s="18"/>
      <c r="J118" s="18"/>
      <c r="K118" s="19"/>
      <c r="L118" s="19"/>
      <c r="M118" s="19"/>
      <c r="N118" s="19"/>
      <c r="O118" s="19"/>
      <c r="P118" s="19"/>
    </row>
    <row r="119" spans="1:16" ht="12.75" hidden="1" x14ac:dyDescent="0.2">
      <c r="A119" s="165"/>
      <c r="B119" s="166"/>
      <c r="C119" s="166"/>
      <c r="D119" s="166"/>
      <c r="E119" s="16"/>
      <c r="F119" s="16"/>
      <c r="G119" s="17"/>
      <c r="H119" s="17"/>
      <c r="I119" s="18"/>
      <c r="J119" s="18"/>
      <c r="K119" s="19"/>
      <c r="L119" s="19"/>
      <c r="M119" s="19"/>
      <c r="N119" s="19"/>
      <c r="O119" s="19"/>
      <c r="P119" s="19"/>
    </row>
    <row r="120" spans="1:16" ht="12.75" hidden="1" x14ac:dyDescent="0.2">
      <c r="A120" s="165"/>
      <c r="B120" s="166"/>
      <c r="C120" s="166"/>
      <c r="D120" s="166"/>
      <c r="E120" s="16"/>
      <c r="F120" s="16"/>
      <c r="G120" s="17"/>
      <c r="H120" s="17"/>
      <c r="I120" s="18"/>
      <c r="J120" s="18"/>
      <c r="K120" s="19"/>
      <c r="L120" s="19"/>
      <c r="M120" s="19"/>
      <c r="N120" s="19"/>
      <c r="O120" s="19"/>
      <c r="P120" s="19"/>
    </row>
    <row r="121" spans="1:16" ht="12.75" hidden="1" x14ac:dyDescent="0.2">
      <c r="A121" s="165"/>
      <c r="B121" s="166"/>
      <c r="C121" s="166"/>
      <c r="D121" s="166"/>
      <c r="E121" s="16"/>
      <c r="F121" s="16"/>
      <c r="G121" s="17"/>
      <c r="H121" s="17"/>
      <c r="I121" s="18"/>
      <c r="J121" s="18"/>
      <c r="K121" s="19"/>
      <c r="L121" s="19"/>
      <c r="M121" s="19"/>
      <c r="N121" s="19"/>
      <c r="O121" s="19"/>
      <c r="P121" s="19"/>
    </row>
    <row r="122" spans="1:16" ht="12.75" hidden="1" x14ac:dyDescent="0.2">
      <c r="A122" s="165"/>
      <c r="B122" s="166"/>
      <c r="C122" s="166"/>
      <c r="D122" s="166"/>
      <c r="E122" s="16"/>
      <c r="F122" s="16"/>
      <c r="G122" s="17"/>
      <c r="H122" s="17"/>
      <c r="I122" s="18"/>
      <c r="J122" s="18"/>
      <c r="K122" s="19"/>
      <c r="L122" s="19"/>
      <c r="M122" s="19"/>
      <c r="N122" s="19"/>
      <c r="O122" s="19"/>
      <c r="P122" s="19"/>
    </row>
    <row r="123" spans="1:16" ht="19.5" hidden="1" x14ac:dyDescent="0.3">
      <c r="A123" s="170" t="s">
        <v>49</v>
      </c>
      <c r="B123" s="16"/>
      <c r="C123" s="171"/>
      <c r="D123" s="16"/>
      <c r="E123" s="16"/>
      <c r="F123" s="16"/>
      <c r="G123" s="16"/>
      <c r="H123" s="16"/>
      <c r="I123" s="172"/>
      <c r="J123" s="172"/>
      <c r="K123" s="173"/>
      <c r="L123" s="19"/>
      <c r="M123" s="19"/>
      <c r="N123" s="19"/>
      <c r="O123" s="19"/>
      <c r="P123" s="19"/>
    </row>
    <row r="124" spans="1:16" ht="19.5" hidden="1" x14ac:dyDescent="0.3">
      <c r="A124" s="174"/>
      <c r="B124" s="178" t="s">
        <v>50</v>
      </c>
      <c r="C124" s="171"/>
      <c r="D124" s="166"/>
      <c r="E124" s="16"/>
      <c r="F124" s="16"/>
      <c r="G124" s="17"/>
      <c r="H124" s="17"/>
      <c r="I124" s="176">
        <v>0</v>
      </c>
      <c r="J124" s="176">
        <v>0</v>
      </c>
      <c r="K124" s="177">
        <v>0</v>
      </c>
      <c r="L124" s="19"/>
      <c r="M124" s="19"/>
      <c r="N124" s="19"/>
      <c r="O124" s="19"/>
      <c r="P124" s="19"/>
    </row>
    <row r="125" spans="1:16" ht="19.5" hidden="1" x14ac:dyDescent="0.3">
      <c r="A125" s="174"/>
      <c r="B125" s="16"/>
      <c r="C125" s="178" t="s">
        <v>16</v>
      </c>
      <c r="D125" s="402" t="s">
        <v>17</v>
      </c>
      <c r="E125" s="16"/>
      <c r="F125" s="16"/>
      <c r="G125" s="17"/>
      <c r="H125" s="180" t="s">
        <v>12</v>
      </c>
      <c r="I125" s="18"/>
      <c r="J125" s="18"/>
      <c r="K125" s="19"/>
      <c r="L125" s="181">
        <f ca="1">L126+L127</f>
        <v>0</v>
      </c>
      <c r="M125" s="181">
        <f ca="1">M126+M127</f>
        <v>0</v>
      </c>
      <c r="N125" s="181">
        <f ca="1">N126+N127</f>
        <v>0</v>
      </c>
      <c r="O125" s="181">
        <f ca="1">IF(L125&gt;0,N125*100/L125,0)</f>
        <v>0</v>
      </c>
      <c r="P125" s="181">
        <f ca="1">IF(M125&gt;0,N125*100/M125,0)</f>
        <v>0</v>
      </c>
    </row>
    <row r="126" spans="1:16" ht="18.75" hidden="1" x14ac:dyDescent="0.25">
      <c r="A126" s="174"/>
      <c r="B126" s="16"/>
      <c r="C126" s="16"/>
      <c r="D126" s="16"/>
      <c r="E126" s="182" t="s">
        <v>18</v>
      </c>
      <c r="F126" s="16"/>
      <c r="G126" s="17"/>
      <c r="H126" s="183" t="s">
        <v>12</v>
      </c>
      <c r="I126" s="18"/>
      <c r="J126" s="18"/>
      <c r="K126" s="19"/>
      <c r="L126" s="184">
        <f>L129+L132</f>
        <v>0</v>
      </c>
      <c r="M126" s="184">
        <f>M129+M132</f>
        <v>0</v>
      </c>
      <c r="N126" s="184">
        <f>N129+N132</f>
        <v>0</v>
      </c>
      <c r="O126" s="184">
        <f>IF(L126&gt;0,N126*100/L126,0)</f>
        <v>0</v>
      </c>
      <c r="P126" s="184">
        <f>IF(M126&gt;0,N126*100/M126,0)</f>
        <v>0</v>
      </c>
    </row>
    <row r="127" spans="1:16" ht="18.75" hidden="1" x14ac:dyDescent="0.25">
      <c r="A127" s="174"/>
      <c r="B127" s="16"/>
      <c r="C127" s="16"/>
      <c r="D127" s="16"/>
      <c r="E127" s="185" t="s">
        <v>19</v>
      </c>
      <c r="F127" s="16"/>
      <c r="G127" s="17"/>
      <c r="H127" s="186" t="s">
        <v>12</v>
      </c>
      <c r="I127" s="18"/>
      <c r="J127" s="18"/>
      <c r="K127" s="19"/>
      <c r="L127" s="177">
        <f ca="1">L130+L133</f>
        <v>0</v>
      </c>
      <c r="M127" s="177">
        <f ca="1">M130+M133</f>
        <v>0</v>
      </c>
      <c r="N127" s="177">
        <f ca="1">N130+N133</f>
        <v>0</v>
      </c>
      <c r="O127" s="177">
        <f ca="1">IF(L127&gt;0,N127*100/L127,0)</f>
        <v>0</v>
      </c>
      <c r="P127" s="177">
        <f ca="1">IF(M127&gt;0,N127*100/M127,0)</f>
        <v>0</v>
      </c>
    </row>
    <row r="128" spans="1:16" ht="18.75" hidden="1" x14ac:dyDescent="0.25">
      <c r="A128" s="174"/>
      <c r="B128" s="16"/>
      <c r="C128" s="16"/>
      <c r="D128" s="401" t="s">
        <v>20</v>
      </c>
      <c r="E128" s="16"/>
      <c r="F128" s="16"/>
      <c r="G128" s="17"/>
      <c r="H128" s="188" t="s">
        <v>12</v>
      </c>
      <c r="I128" s="18"/>
      <c r="J128" s="18"/>
      <c r="K128" s="19"/>
      <c r="L128" s="177">
        <f ca="1">L129+L130</f>
        <v>0</v>
      </c>
      <c r="M128" s="177">
        <f ca="1">M129+M130</f>
        <v>0</v>
      </c>
      <c r="N128" s="177">
        <f ca="1">N129+N130</f>
        <v>0</v>
      </c>
      <c r="O128" s="177">
        <f ca="1">IF(L128&gt;0,N128*100/L128,0)</f>
        <v>0</v>
      </c>
      <c r="P128" s="177">
        <f ca="1">IF(M128&gt;0,N128*100/M128,0)</f>
        <v>0</v>
      </c>
    </row>
    <row r="129" spans="1:16" ht="18.75" hidden="1" x14ac:dyDescent="0.25">
      <c r="A129" s="174"/>
      <c r="B129" s="16"/>
      <c r="C129" s="16"/>
      <c r="D129" s="16"/>
      <c r="E129" s="182" t="s">
        <v>34</v>
      </c>
      <c r="F129" s="16"/>
      <c r="G129" s="17"/>
      <c r="H129" s="189" t="s">
        <v>12</v>
      </c>
      <c r="I129" s="18"/>
      <c r="J129" s="18"/>
      <c r="K129" s="19"/>
      <c r="L129" s="184">
        <v>0</v>
      </c>
      <c r="M129" s="184">
        <v>0</v>
      </c>
      <c r="N129" s="184">
        <v>0</v>
      </c>
      <c r="O129" s="184">
        <f>IF(L129&gt;0,N129*100/L129,0)</f>
        <v>0</v>
      </c>
      <c r="P129" s="184">
        <f>IF(M129&gt;0,N129*100/M129,0)</f>
        <v>0</v>
      </c>
    </row>
    <row r="130" spans="1:16" ht="18.75" hidden="1" x14ac:dyDescent="0.25">
      <c r="A130" s="174"/>
      <c r="B130" s="16"/>
      <c r="C130" s="16"/>
      <c r="D130" s="16"/>
      <c r="E130" s="185" t="s">
        <v>35</v>
      </c>
      <c r="F130" s="16"/>
      <c r="G130" s="17"/>
      <c r="H130" s="188" t="s">
        <v>12</v>
      </c>
      <c r="I130" s="18"/>
      <c r="J130" s="18"/>
      <c r="K130" s="19"/>
      <c r="L130" s="177">
        <f ca="1">IFERROR(__xludf.DUMMYFUNCTION("IMPORTRANGE(""https://docs.google.com/spreadsheets/d/1-uDff_7J0KD5mKrp0Vvzr7lt3OU09vwQwhkpOPPYv2Y/edit?usp=sharing"",""งบพรบ!BG24"")"),0)</f>
        <v>0</v>
      </c>
      <c r="M130" s="177">
        <f ca="1">IFERROR(__xludf.DUMMYFUNCTION("IMPORTRANGE(""https://docs.google.com/spreadsheets/d/1-uDff_7J0KD5mKrp0Vvzr7lt3OU09vwQwhkpOPPYv2Y/edit?usp=sharing"",""งบพรบ!BL24"")"),0)</f>
        <v>0</v>
      </c>
      <c r="N130" s="177">
        <f ca="1">IFERROR(__xludf.DUMMYFUNCTION("IMPORTRANGE(""https://docs.google.com/spreadsheets/d/1-uDff_7J0KD5mKrp0Vvzr7lt3OU09vwQwhkpOPPYv2Y/edit?usp=sharing"",""งบพรบ!BN24"")"),0)</f>
        <v>0</v>
      </c>
      <c r="O130" s="177">
        <f ca="1">IF(L130&gt;0,N130*100/L130,0)</f>
        <v>0</v>
      </c>
      <c r="P130" s="177">
        <f ca="1">IF(M130&gt;0,N130*100/M130,0)</f>
        <v>0</v>
      </c>
    </row>
    <row r="131" spans="1:16" ht="18.75" hidden="1" x14ac:dyDescent="0.25">
      <c r="A131" s="174"/>
      <c r="B131" s="16"/>
      <c r="C131" s="16"/>
      <c r="D131" s="401" t="s">
        <v>21</v>
      </c>
      <c r="E131" s="16"/>
      <c r="F131" s="16"/>
      <c r="G131" s="17"/>
      <c r="H131" s="186" t="s">
        <v>12</v>
      </c>
      <c r="I131" s="18"/>
      <c r="J131" s="18"/>
      <c r="K131" s="19"/>
      <c r="L131" s="177">
        <f ca="1">L132+L133</f>
        <v>0</v>
      </c>
      <c r="M131" s="177">
        <f ca="1">M132+M133</f>
        <v>0</v>
      </c>
      <c r="N131" s="177">
        <f ca="1">N132+N133</f>
        <v>0</v>
      </c>
      <c r="O131" s="177">
        <f ca="1">IF(L131&gt;0,N131*100/L131,0)</f>
        <v>0</v>
      </c>
      <c r="P131" s="177">
        <f ca="1">IF(M131&gt;0,N131*100/M131,0)</f>
        <v>0</v>
      </c>
    </row>
    <row r="132" spans="1:16" ht="18.75" hidden="1" x14ac:dyDescent="0.25">
      <c r="A132" s="174"/>
      <c r="B132" s="16"/>
      <c r="C132" s="16"/>
      <c r="D132" s="16"/>
      <c r="E132" s="182" t="s">
        <v>18</v>
      </c>
      <c r="F132" s="16"/>
      <c r="G132" s="17"/>
      <c r="H132" s="189" t="s">
        <v>12</v>
      </c>
      <c r="I132" s="18"/>
      <c r="J132" s="18"/>
      <c r="K132" s="19"/>
      <c r="L132" s="184">
        <v>0</v>
      </c>
      <c r="M132" s="184">
        <v>0</v>
      </c>
      <c r="N132" s="184">
        <v>0</v>
      </c>
      <c r="O132" s="184">
        <f>IF(L132&gt;0,N132*100/L132,0)</f>
        <v>0</v>
      </c>
      <c r="P132" s="184">
        <f>IF(M132&gt;0,N132*100/M132,0)</f>
        <v>0</v>
      </c>
    </row>
    <row r="133" spans="1:16" ht="18.75" hidden="1" x14ac:dyDescent="0.25">
      <c r="A133" s="174"/>
      <c r="B133" s="16"/>
      <c r="C133" s="16"/>
      <c r="D133" s="16"/>
      <c r="E133" s="185" t="s">
        <v>19</v>
      </c>
      <c r="F133" s="16"/>
      <c r="G133" s="17"/>
      <c r="H133" s="186" t="s">
        <v>12</v>
      </c>
      <c r="I133" s="18"/>
      <c r="J133" s="18"/>
      <c r="K133" s="19"/>
      <c r="L133" s="177">
        <f ca="1">IFERROR(__xludf.DUMMYFUNCTION("IMPORTRANGE(""https://docs.google.com/spreadsheets/d/1-uDff_7J0KD5mKrp0Vvzr7lt3OU09vwQwhkpOPPYv2Y/edit?usp=sharing"",""งบพรบ!BJ24"")"),0)</f>
        <v>0</v>
      </c>
      <c r="M133" s="177">
        <f ca="1">IFERROR(__xludf.DUMMYFUNCTION("IMPORTRANGE(""https://docs.google.com/spreadsheets/d/1-uDff_7J0KD5mKrp0Vvzr7lt3OU09vwQwhkpOPPYv2Y/edit?usp=sharing"",""งบพรบ!BM24"")"),0)</f>
        <v>0</v>
      </c>
      <c r="N133" s="177">
        <f ca="1">IFERROR(__xludf.DUMMYFUNCTION("IMPORTRANGE(""https://docs.google.com/spreadsheets/d/1-uDff_7J0KD5mKrp0Vvzr7lt3OU09vwQwhkpOPPYv2Y/edit?usp=sharing"",""งบพรบ!BO24"")"),0)</f>
        <v>0</v>
      </c>
      <c r="O133" s="177">
        <f ca="1">IF(L133&gt;0,N133*100/L133,0)</f>
        <v>0</v>
      </c>
      <c r="P133" s="177">
        <f ca="1">IF(M133&gt;0,N133*100/M133,0)</f>
        <v>0</v>
      </c>
    </row>
    <row r="134" spans="1:16" ht="19.5" x14ac:dyDescent="0.3">
      <c r="A134" s="125" t="s">
        <v>51</v>
      </c>
      <c r="B134" s="126"/>
      <c r="C134" s="190"/>
      <c r="D134" s="126"/>
      <c r="E134" s="126"/>
      <c r="F134" s="126"/>
      <c r="G134" s="126"/>
      <c r="H134" s="126"/>
      <c r="I134" s="191"/>
      <c r="J134" s="191"/>
      <c r="K134" s="192"/>
      <c r="L134" s="130"/>
      <c r="M134" s="130"/>
      <c r="N134" s="130"/>
      <c r="O134" s="130"/>
      <c r="P134" s="130"/>
    </row>
    <row r="135" spans="1:16" ht="19.5" x14ac:dyDescent="0.3">
      <c r="A135" s="131"/>
      <c r="B135" s="132" t="s">
        <v>52</v>
      </c>
      <c r="C135" s="193"/>
      <c r="D135" s="133"/>
      <c r="E135" s="26"/>
      <c r="F135" s="26"/>
      <c r="G135" s="26"/>
      <c r="H135" s="26"/>
      <c r="I135" s="194"/>
      <c r="J135" s="31"/>
      <c r="K135" s="32"/>
      <c r="L135" s="32"/>
      <c r="M135" s="32"/>
      <c r="N135" s="32"/>
      <c r="O135" s="32"/>
      <c r="P135" s="32"/>
    </row>
    <row r="136" spans="1:16" ht="19.5" x14ac:dyDescent="0.3">
      <c r="A136" s="131"/>
      <c r="B136" s="26"/>
      <c r="C136" s="195" t="s">
        <v>53</v>
      </c>
      <c r="D136" s="133"/>
      <c r="E136" s="26"/>
      <c r="F136" s="26"/>
      <c r="G136" s="29"/>
      <c r="H136" s="134" t="s">
        <v>54</v>
      </c>
      <c r="I136" s="135">
        <f ca="1">I154</f>
        <v>1</v>
      </c>
      <c r="J136" s="135">
        <f>J154</f>
        <v>0</v>
      </c>
      <c r="K136" s="33">
        <f ca="1">IF(I136&gt;0,J136*100/I136,0)</f>
        <v>0</v>
      </c>
      <c r="L136" s="32"/>
      <c r="M136" s="32"/>
      <c r="N136" s="32"/>
      <c r="O136" s="32"/>
      <c r="P136" s="32"/>
    </row>
    <row r="137" spans="1:16" ht="19.5" x14ac:dyDescent="0.3">
      <c r="A137" s="131"/>
      <c r="B137" s="26"/>
      <c r="C137" s="195" t="s">
        <v>55</v>
      </c>
      <c r="D137" s="133"/>
      <c r="E137" s="26"/>
      <c r="F137" s="26"/>
      <c r="G137" s="29"/>
      <c r="H137" s="134" t="s">
        <v>33</v>
      </c>
      <c r="I137" s="135">
        <f ca="1">I152</f>
        <v>60</v>
      </c>
      <c r="J137" s="135">
        <f>J152</f>
        <v>0</v>
      </c>
      <c r="K137" s="33">
        <f ca="1">IF(I137&gt;0,J137*100/I137,0)</f>
        <v>0</v>
      </c>
      <c r="L137" s="32"/>
      <c r="M137" s="32"/>
      <c r="N137" s="32"/>
      <c r="O137" s="32"/>
      <c r="P137" s="32"/>
    </row>
    <row r="138" spans="1:16" ht="19.5" x14ac:dyDescent="0.3">
      <c r="A138" s="131"/>
      <c r="B138" s="26"/>
      <c r="C138" s="193"/>
      <c r="D138" s="133"/>
      <c r="E138" s="26"/>
      <c r="F138" s="26"/>
      <c r="G138" s="29"/>
      <c r="H138" s="134" t="s">
        <v>56</v>
      </c>
      <c r="I138" s="135">
        <f ca="1">I153</f>
        <v>6</v>
      </c>
      <c r="J138" s="135">
        <f>J153</f>
        <v>0</v>
      </c>
      <c r="K138" s="33">
        <f ca="1">IF(I138&gt;0,J138*100/I138,0)</f>
        <v>0</v>
      </c>
      <c r="L138" s="32"/>
      <c r="M138" s="32"/>
      <c r="N138" s="32"/>
      <c r="O138" s="32"/>
      <c r="P138" s="32"/>
    </row>
    <row r="139" spans="1:16" ht="19.5" x14ac:dyDescent="0.3">
      <c r="A139" s="136"/>
      <c r="B139" s="41"/>
      <c r="C139" s="197" t="s">
        <v>16</v>
      </c>
      <c r="D139" s="397" t="s">
        <v>17</v>
      </c>
      <c r="E139" s="41"/>
      <c r="F139" s="41"/>
      <c r="G139" s="43"/>
      <c r="H139" s="139" t="s">
        <v>12</v>
      </c>
      <c r="I139" s="45"/>
      <c r="J139" s="45"/>
      <c r="K139" s="46"/>
      <c r="L139" s="140">
        <f ca="1">L140+L141</f>
        <v>164700</v>
      </c>
      <c r="M139" s="140">
        <f ca="1">M140+M141</f>
        <v>136600</v>
      </c>
      <c r="N139" s="140">
        <f ca="1">N140+N141</f>
        <v>12250</v>
      </c>
      <c r="O139" s="140">
        <f ca="1">IF(L139&gt;0,N139*100/L139,0)</f>
        <v>7.4377656344869463</v>
      </c>
      <c r="P139" s="140">
        <f ca="1">IF(M139&gt;0,N139*100/M139,0)</f>
        <v>8.9677891654465594</v>
      </c>
    </row>
    <row r="140" spans="1:16" ht="18.75" hidden="1" x14ac:dyDescent="0.25">
      <c r="A140" s="136"/>
      <c r="B140" s="41"/>
      <c r="C140" s="41"/>
      <c r="D140" s="41"/>
      <c r="E140" s="279" t="s">
        <v>18</v>
      </c>
      <c r="F140" s="41"/>
      <c r="G140" s="43"/>
      <c r="H140" s="141" t="s">
        <v>12</v>
      </c>
      <c r="I140" s="45"/>
      <c r="J140" s="45"/>
      <c r="K140" s="46"/>
      <c r="L140" s="50">
        <f>L143+L146</f>
        <v>0</v>
      </c>
      <c r="M140" s="50">
        <f>M143+M146</f>
        <v>0</v>
      </c>
      <c r="N140" s="50">
        <f>N143+N146</f>
        <v>0</v>
      </c>
      <c r="O140" s="50">
        <f>IF(L140&gt;0,N140*100/L140,0)</f>
        <v>0</v>
      </c>
      <c r="P140" s="50">
        <f>IF(M140&gt;0,N140*100/M140,0)</f>
        <v>0</v>
      </c>
    </row>
    <row r="141" spans="1:16" ht="18.75" x14ac:dyDescent="0.25">
      <c r="A141" s="136"/>
      <c r="B141" s="41"/>
      <c r="C141" s="41"/>
      <c r="D141" s="41"/>
      <c r="E141" s="254" t="s">
        <v>19</v>
      </c>
      <c r="F141" s="41"/>
      <c r="G141" s="43"/>
      <c r="H141" s="142" t="s">
        <v>12</v>
      </c>
      <c r="I141" s="45"/>
      <c r="J141" s="45"/>
      <c r="K141" s="46"/>
      <c r="L141" s="47">
        <f ca="1">L144+L147</f>
        <v>164700</v>
      </c>
      <c r="M141" s="47">
        <f ca="1">M144+M147</f>
        <v>136600</v>
      </c>
      <c r="N141" s="47">
        <f ca="1">N144+N147</f>
        <v>12250</v>
      </c>
      <c r="O141" s="47">
        <f ca="1">IF(L141&gt;0,N141*100/L141,0)</f>
        <v>7.4377656344869463</v>
      </c>
      <c r="P141" s="47">
        <f ca="1">IF(M141&gt;0,N141*100/M141,0)</f>
        <v>8.9677891654465594</v>
      </c>
    </row>
    <row r="142" spans="1:16" ht="18.75" x14ac:dyDescent="0.25">
      <c r="A142" s="136"/>
      <c r="B142" s="41"/>
      <c r="C142" s="41"/>
      <c r="D142" s="42" t="s">
        <v>20</v>
      </c>
      <c r="E142" s="41"/>
      <c r="F142" s="41"/>
      <c r="G142" s="43"/>
      <c r="H142" s="143" t="s">
        <v>12</v>
      </c>
      <c r="I142" s="144"/>
      <c r="J142" s="144"/>
      <c r="K142" s="145"/>
      <c r="L142" s="47">
        <f ca="1">L143+L144</f>
        <v>164700</v>
      </c>
      <c r="M142" s="47">
        <f ca="1">M143+M144</f>
        <v>136600</v>
      </c>
      <c r="N142" s="47">
        <f ca="1">N143+N144</f>
        <v>12250</v>
      </c>
      <c r="O142" s="47">
        <f ca="1">IF(L142&gt;0,N142*100/L142,0)</f>
        <v>7.4377656344869463</v>
      </c>
      <c r="P142" s="47">
        <f ca="1">IF(M142&gt;0,N142*100/M142,0)</f>
        <v>8.9677891654465594</v>
      </c>
    </row>
    <row r="143" spans="1:16" ht="18.75" hidden="1" x14ac:dyDescent="0.25">
      <c r="A143" s="136"/>
      <c r="B143" s="41"/>
      <c r="C143" s="41"/>
      <c r="D143" s="41"/>
      <c r="E143" s="279" t="s">
        <v>34</v>
      </c>
      <c r="F143" s="41"/>
      <c r="G143" s="43"/>
      <c r="H143" s="146" t="s">
        <v>12</v>
      </c>
      <c r="I143" s="144"/>
      <c r="J143" s="144"/>
      <c r="K143" s="145"/>
      <c r="L143" s="50">
        <v>0</v>
      </c>
      <c r="M143" s="50">
        <v>0</v>
      </c>
      <c r="N143" s="50">
        <v>0</v>
      </c>
      <c r="O143" s="50">
        <f>IF(L143&gt;0,N143*100/L143,0)</f>
        <v>0</v>
      </c>
      <c r="P143" s="50">
        <f>IF(M143&gt;0,N143*100/M143,0)</f>
        <v>0</v>
      </c>
    </row>
    <row r="144" spans="1:16" ht="18.75" x14ac:dyDescent="0.25">
      <c r="A144" s="136"/>
      <c r="B144" s="41"/>
      <c r="C144" s="41"/>
      <c r="D144" s="41"/>
      <c r="E144" s="254" t="s">
        <v>35</v>
      </c>
      <c r="F144" s="41"/>
      <c r="G144" s="43"/>
      <c r="H144" s="143" t="s">
        <v>12</v>
      </c>
      <c r="I144" s="144"/>
      <c r="J144" s="144"/>
      <c r="K144" s="145"/>
      <c r="L144" s="47">
        <f ca="1">IFERROR(__xludf.DUMMYFUNCTION("IMPORTRANGE(""https://docs.google.com/spreadsheets/d/1-uDff_7J0KD5mKrp0Vvzr7lt3OU09vwQwhkpOPPYv2Y/edit?usp=sharing"",""งบพรบ!BQ24"")"),164700)</f>
        <v>164700</v>
      </c>
      <c r="M144" s="47">
        <f ca="1">IFERROR(__xludf.DUMMYFUNCTION("IMPORTRANGE(""https://docs.google.com/spreadsheets/d/1-uDff_7J0KD5mKrp0Vvzr7lt3OU09vwQwhkpOPPYv2Y/edit?usp=sharing"",""งบพรบ!BV24"")"),136600)</f>
        <v>136600</v>
      </c>
      <c r="N144" s="47">
        <f ca="1">IFERROR(__xludf.DUMMYFUNCTION("IMPORTRANGE(""https://docs.google.com/spreadsheets/d/1-uDff_7J0KD5mKrp0Vvzr7lt3OU09vwQwhkpOPPYv2Y/edit?usp=sharing"",""งบพรบ!BX24"")"),12250)</f>
        <v>12250</v>
      </c>
      <c r="O144" s="47">
        <f ca="1">IF(L144&gt;0,N144*100/L144,0)</f>
        <v>7.4377656344869463</v>
      </c>
      <c r="P144" s="47">
        <f ca="1">IF(M144&gt;0,N144*100/M144,0)</f>
        <v>8.9677891654465594</v>
      </c>
    </row>
    <row r="145" spans="1:16" ht="18.75" x14ac:dyDescent="0.25">
      <c r="A145" s="136"/>
      <c r="B145" s="41"/>
      <c r="C145" s="41"/>
      <c r="D145" s="42" t="s">
        <v>21</v>
      </c>
      <c r="E145" s="41"/>
      <c r="F145" s="41"/>
      <c r="G145" s="43"/>
      <c r="H145" s="147" t="s">
        <v>12</v>
      </c>
      <c r="I145" s="144"/>
      <c r="J145" s="144"/>
      <c r="K145" s="145"/>
      <c r="L145" s="47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</row>
    <row r="146" spans="1:16" ht="18.75" hidden="1" x14ac:dyDescent="0.25">
      <c r="A146" s="136"/>
      <c r="B146" s="41"/>
      <c r="C146" s="41"/>
      <c r="D146" s="41"/>
      <c r="E146" s="279" t="s">
        <v>18</v>
      </c>
      <c r="F146" s="41"/>
      <c r="G146" s="43"/>
      <c r="H146" s="146" t="s">
        <v>12</v>
      </c>
      <c r="I146" s="144"/>
      <c r="J146" s="144"/>
      <c r="K146" s="145"/>
      <c r="L146" s="50">
        <v>0</v>
      </c>
      <c r="M146" s="50">
        <v>0</v>
      </c>
      <c r="N146" s="50">
        <v>0</v>
      </c>
      <c r="O146" s="50">
        <f>IF(L146&gt;0,N146*100/L146,0)</f>
        <v>0</v>
      </c>
      <c r="P146" s="50">
        <f>IF(M146&gt;0,N146*100/M146,0)</f>
        <v>0</v>
      </c>
    </row>
    <row r="147" spans="1:16" ht="18.75" x14ac:dyDescent="0.25">
      <c r="A147" s="136"/>
      <c r="B147" s="41"/>
      <c r="C147" s="41"/>
      <c r="D147" s="41"/>
      <c r="E147" s="254" t="s">
        <v>19</v>
      </c>
      <c r="F147" s="41"/>
      <c r="G147" s="43"/>
      <c r="H147" s="147" t="s">
        <v>12</v>
      </c>
      <c r="I147" s="144"/>
      <c r="J147" s="144"/>
      <c r="K147" s="145"/>
      <c r="L147" s="47">
        <f ca="1">IFERROR(__xludf.DUMMYFUNCTION("IMPORTRANGE(""https://docs.google.com/spreadsheets/d/1-uDff_7J0KD5mKrp0Vvzr7lt3OU09vwQwhkpOPPYv2Y/edit?usp=sharing"",""งบพรบ!BT24"")"),0)</f>
        <v>0</v>
      </c>
      <c r="M147" s="47">
        <f ca="1">IFERROR(__xludf.DUMMYFUNCTION("IMPORTRANGE(""https://docs.google.com/spreadsheets/d/1-uDff_7J0KD5mKrp0Vvzr7lt3OU09vwQwhkpOPPYv2Y/edit?usp=sharing"",""งบพรบ!BW24"")"),0)</f>
        <v>0</v>
      </c>
      <c r="N147" s="47">
        <f ca="1">IFERROR(__xludf.DUMMYFUNCTION("IMPORTRANGE(""https://docs.google.com/spreadsheets/d/1-uDff_7J0KD5mKrp0Vvzr7lt3OU09vwQwhkpOPPYv2Y/edit?usp=sharing"",""งบพรบ!BY24"")"),0)</f>
        <v>0</v>
      </c>
      <c r="O147" s="47">
        <f ca="1">IF(L147&gt;0,N147*100/L147,0)</f>
        <v>0</v>
      </c>
      <c r="P147" s="47">
        <f ca="1">IF(M147&gt;0,N147*100/M147,0)</f>
        <v>0</v>
      </c>
    </row>
    <row r="148" spans="1:16" ht="19.5" x14ac:dyDescent="0.3">
      <c r="A148" s="148"/>
      <c r="B148" s="149"/>
      <c r="C148" s="197" t="s">
        <v>16</v>
      </c>
      <c r="D148" s="395" t="s">
        <v>36</v>
      </c>
      <c r="E148" s="151"/>
      <c r="F148" s="151"/>
      <c r="G148" s="152"/>
      <c r="H148" s="196"/>
      <c r="I148" s="45"/>
      <c r="J148" s="45"/>
      <c r="K148" s="46"/>
      <c r="L148" s="46"/>
      <c r="M148" s="46"/>
      <c r="N148" s="46"/>
      <c r="O148" s="46"/>
      <c r="P148" s="46"/>
    </row>
    <row r="149" spans="1:16" ht="18.75" x14ac:dyDescent="0.25">
      <c r="A149" s="136"/>
      <c r="B149" s="41"/>
      <c r="C149" s="41"/>
      <c r="D149" s="254" t="s">
        <v>57</v>
      </c>
      <c r="E149" s="41"/>
      <c r="F149" s="41"/>
      <c r="G149" s="43"/>
      <c r="H149" s="196"/>
      <c r="I149" s="45"/>
      <c r="J149" s="250">
        <v>0</v>
      </c>
      <c r="K149" s="46"/>
      <c r="L149" s="46"/>
      <c r="M149" s="46"/>
      <c r="N149" s="46"/>
      <c r="O149" s="46"/>
      <c r="P149" s="46"/>
    </row>
    <row r="150" spans="1:16" ht="19.5" x14ac:dyDescent="0.3">
      <c r="A150" s="136"/>
      <c r="B150" s="41"/>
      <c r="C150" s="41"/>
      <c r="D150" s="155"/>
      <c r="E150" s="197" t="s">
        <v>58</v>
      </c>
      <c r="F150" s="41"/>
      <c r="G150" s="43"/>
      <c r="H150" s="147" t="s">
        <v>33</v>
      </c>
      <c r="I150" s="169">
        <f ca="1">IFERROR(__xludf.DUMMYFUNCTION("IMPORTRANGE(""https://docs.google.com/spreadsheets/d/1eHaY18a8A9IcSdp1K8H6x8fbOy06t2VsZHhMHf-1x7Y/edit?usp=sharing"",""แผน!U24"")"),10)</f>
        <v>10</v>
      </c>
      <c r="J150" s="250">
        <v>0</v>
      </c>
      <c r="K150" s="47">
        <f ca="1">IF(I150&gt;0,J150*100/I150,0)</f>
        <v>0</v>
      </c>
      <c r="L150" s="46"/>
      <c r="M150" s="46"/>
      <c r="N150" s="46"/>
      <c r="O150" s="46"/>
      <c r="P150" s="46"/>
    </row>
    <row r="151" spans="1:16" ht="18.75" hidden="1" x14ac:dyDescent="0.25">
      <c r="A151" s="136"/>
      <c r="B151" s="41"/>
      <c r="C151" s="41"/>
      <c r="D151" s="155"/>
      <c r="E151" s="41"/>
      <c r="F151" s="41"/>
      <c r="G151" s="43"/>
      <c r="H151" s="147" t="s">
        <v>56</v>
      </c>
      <c r="I151" s="169">
        <f ca="1">IFERROR(__xludf.DUMMYFUNCTION("IMPORTRANGE(""https://docs.google.com/spreadsheets/d/1eHaY18a8A9IcSdp1K8H6x8fbOy06t2VsZHhMHf-1x7Y/edit?usp=sharing"",""แผน!V24"")"),1)</f>
        <v>1</v>
      </c>
      <c r="J151" s="250">
        <v>0</v>
      </c>
      <c r="K151" s="47">
        <f ca="1">IF(I151&gt;0,J151*100/I151,0)</f>
        <v>0</v>
      </c>
      <c r="L151" s="46"/>
      <c r="M151" s="46"/>
      <c r="N151" s="46"/>
      <c r="O151" s="46"/>
      <c r="P151" s="46"/>
    </row>
    <row r="152" spans="1:16" ht="19.5" x14ac:dyDescent="0.3">
      <c r="A152" s="136"/>
      <c r="B152" s="41"/>
      <c r="C152" s="41"/>
      <c r="D152" s="155"/>
      <c r="E152" s="197" t="s">
        <v>59</v>
      </c>
      <c r="F152" s="41"/>
      <c r="G152" s="43"/>
      <c r="H152" s="147" t="s">
        <v>33</v>
      </c>
      <c r="I152" s="169">
        <f ca="1">IFERROR(__xludf.DUMMYFUNCTION("IMPORTRANGE(""https://docs.google.com/spreadsheets/d/1eHaY18a8A9IcSdp1K8H6x8fbOy06t2VsZHhMHf-1x7Y/edit?usp=sharing"",""แผน!W24"")"),60)</f>
        <v>60</v>
      </c>
      <c r="J152" s="250">
        <v>0</v>
      </c>
      <c r="K152" s="47">
        <f ca="1">IF(I152&gt;0,J152*100/I152,0)</f>
        <v>0</v>
      </c>
      <c r="L152" s="46"/>
      <c r="M152" s="46"/>
      <c r="N152" s="46"/>
      <c r="O152" s="46"/>
      <c r="P152" s="46"/>
    </row>
    <row r="153" spans="1:16" ht="18.75" x14ac:dyDescent="0.25">
      <c r="A153" s="136"/>
      <c r="B153" s="41"/>
      <c r="C153" s="41"/>
      <c r="D153" s="41"/>
      <c r="E153" s="41"/>
      <c r="F153" s="41"/>
      <c r="G153" s="43"/>
      <c r="H153" s="147" t="s">
        <v>56</v>
      </c>
      <c r="I153" s="169">
        <f ca="1">IFERROR(__xludf.DUMMYFUNCTION("IMPORTRANGE(""https://docs.google.com/spreadsheets/d/1eHaY18a8A9IcSdp1K8H6x8fbOy06t2VsZHhMHf-1x7Y/edit?usp=sharing"",""แผน!X24"")"),6)</f>
        <v>6</v>
      </c>
      <c r="J153" s="250">
        <v>0</v>
      </c>
      <c r="K153" s="47">
        <f ca="1">IF(I153&gt;0,J153*100/I153,0)</f>
        <v>0</v>
      </c>
      <c r="L153" s="46"/>
      <c r="M153" s="46"/>
      <c r="N153" s="46"/>
      <c r="O153" s="46"/>
      <c r="P153" s="46"/>
    </row>
    <row r="154" spans="1:16" ht="18.75" x14ac:dyDescent="0.25">
      <c r="A154" s="136"/>
      <c r="B154" s="41"/>
      <c r="C154" s="41"/>
      <c r="D154" s="254" t="s">
        <v>60</v>
      </c>
      <c r="E154" s="41"/>
      <c r="F154" s="41"/>
      <c r="G154" s="43"/>
      <c r="H154" s="147" t="s">
        <v>54</v>
      </c>
      <c r="I154" s="169">
        <f ca="1">IFERROR(__xludf.DUMMYFUNCTION("IMPORTRANGE(""https://docs.google.com/spreadsheets/d/1eHaY18a8A9IcSdp1K8H6x8fbOy06t2VsZHhMHf-1x7Y/edit?usp=sharing"",""แผน!Y24"")"),1)</f>
        <v>1</v>
      </c>
      <c r="J154" s="250">
        <v>0</v>
      </c>
      <c r="K154" s="47">
        <f ca="1">IF(I154&gt;0,J154*100/I154,0)</f>
        <v>0</v>
      </c>
      <c r="L154" s="46"/>
      <c r="M154" s="46"/>
      <c r="N154" s="46"/>
      <c r="O154" s="46"/>
      <c r="P154" s="46"/>
    </row>
    <row r="155" spans="1:16" ht="19.5" hidden="1" x14ac:dyDescent="0.3">
      <c r="A155" s="125" t="s">
        <v>61</v>
      </c>
      <c r="B155" s="126"/>
      <c r="C155" s="190"/>
      <c r="D155" s="126"/>
      <c r="E155" s="126"/>
      <c r="F155" s="126"/>
      <c r="G155" s="126"/>
      <c r="H155" s="126"/>
      <c r="I155" s="191"/>
      <c r="J155" s="191"/>
      <c r="K155" s="192"/>
      <c r="L155" s="130"/>
      <c r="M155" s="130"/>
      <c r="N155" s="130"/>
      <c r="O155" s="130"/>
      <c r="P155" s="130"/>
    </row>
    <row r="156" spans="1:16" ht="19.5" hidden="1" x14ac:dyDescent="0.3">
      <c r="A156" s="131"/>
      <c r="B156" s="132" t="s">
        <v>62</v>
      </c>
      <c r="C156" s="26"/>
      <c r="D156" s="26"/>
      <c r="E156" s="26"/>
      <c r="F156" s="26"/>
      <c r="G156" s="29"/>
      <c r="H156" s="198" t="s">
        <v>33</v>
      </c>
      <c r="I156" s="135">
        <f ca="1">I169</f>
        <v>0</v>
      </c>
      <c r="J156" s="135">
        <f>J169</f>
        <v>0</v>
      </c>
      <c r="K156" s="33">
        <f ca="1">IF(I156&gt;0,J156*100/I156,0)</f>
        <v>0</v>
      </c>
      <c r="L156" s="32"/>
      <c r="M156" s="32"/>
      <c r="N156" s="32"/>
      <c r="O156" s="32"/>
      <c r="P156" s="32"/>
    </row>
    <row r="157" spans="1:16" ht="19.5" hidden="1" x14ac:dyDescent="0.3">
      <c r="A157" s="136"/>
      <c r="B157" s="41"/>
      <c r="C157" s="197" t="s">
        <v>16</v>
      </c>
      <c r="D157" s="397" t="s">
        <v>17</v>
      </c>
      <c r="E157" s="41"/>
      <c r="F157" s="41"/>
      <c r="G157" s="43"/>
      <c r="H157" s="139" t="s">
        <v>12</v>
      </c>
      <c r="I157" s="45"/>
      <c r="J157" s="45"/>
      <c r="K157" s="46"/>
      <c r="L157" s="140">
        <f ca="1">L158+L159</f>
        <v>0</v>
      </c>
      <c r="M157" s="140">
        <f ca="1">M158+M159</f>
        <v>0</v>
      </c>
      <c r="N157" s="140">
        <f ca="1">N158+N159</f>
        <v>0</v>
      </c>
      <c r="O157" s="140">
        <f ca="1">IF(L157&gt;0,N157*100/L157,0)</f>
        <v>0</v>
      </c>
      <c r="P157" s="140">
        <f ca="1">IF(M157&gt;0,N157*100/M157,0)</f>
        <v>0</v>
      </c>
    </row>
    <row r="158" spans="1:16" ht="18.75" hidden="1" x14ac:dyDescent="0.25">
      <c r="A158" s="136"/>
      <c r="B158" s="41"/>
      <c r="C158" s="41"/>
      <c r="D158" s="41"/>
      <c r="E158" s="279" t="s">
        <v>18</v>
      </c>
      <c r="F158" s="41"/>
      <c r="G158" s="43"/>
      <c r="H158" s="141" t="s">
        <v>12</v>
      </c>
      <c r="I158" s="45"/>
      <c r="J158" s="45"/>
      <c r="K158" s="46"/>
      <c r="L158" s="50">
        <f>L161+L164</f>
        <v>0</v>
      </c>
      <c r="M158" s="50">
        <f>M161+M164</f>
        <v>0</v>
      </c>
      <c r="N158" s="50">
        <f>N161+N164</f>
        <v>0</v>
      </c>
      <c r="O158" s="50">
        <f>IF(L158&gt;0,N158*100/L158,0)</f>
        <v>0</v>
      </c>
      <c r="P158" s="50">
        <f>IF(M158&gt;0,N158*100/M158,0)</f>
        <v>0</v>
      </c>
    </row>
    <row r="159" spans="1:16" ht="18.75" hidden="1" x14ac:dyDescent="0.25">
      <c r="A159" s="136"/>
      <c r="B159" s="41"/>
      <c r="C159" s="41"/>
      <c r="D159" s="41"/>
      <c r="E159" s="254" t="s">
        <v>19</v>
      </c>
      <c r="F159" s="41"/>
      <c r="G159" s="43"/>
      <c r="H159" s="142" t="s">
        <v>12</v>
      </c>
      <c r="I159" s="45"/>
      <c r="J159" s="45"/>
      <c r="K159" s="46"/>
      <c r="L159" s="47">
        <f ca="1">L162+L165</f>
        <v>0</v>
      </c>
      <c r="M159" s="47">
        <f ca="1">M162+M165</f>
        <v>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</row>
    <row r="160" spans="1:16" ht="18.75" hidden="1" x14ac:dyDescent="0.25">
      <c r="A160" s="136"/>
      <c r="B160" s="41"/>
      <c r="C160" s="41"/>
      <c r="D160" s="42" t="s">
        <v>20</v>
      </c>
      <c r="E160" s="41"/>
      <c r="F160" s="41"/>
      <c r="G160" s="43"/>
      <c r="H160" s="143" t="s">
        <v>12</v>
      </c>
      <c r="I160" s="144"/>
      <c r="J160" s="144"/>
      <c r="K160" s="145"/>
      <c r="L160" s="47">
        <f ca="1">L161+L162</f>
        <v>0</v>
      </c>
      <c r="M160" s="47">
        <f ca="1">M161+M162</f>
        <v>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</row>
    <row r="161" spans="1:16" ht="18.75" hidden="1" x14ac:dyDescent="0.25">
      <c r="A161" s="136"/>
      <c r="B161" s="41"/>
      <c r="C161" s="41"/>
      <c r="D161" s="41"/>
      <c r="E161" s="279" t="s">
        <v>34</v>
      </c>
      <c r="F161" s="41"/>
      <c r="G161" s="43"/>
      <c r="H161" s="146" t="s">
        <v>12</v>
      </c>
      <c r="I161" s="144"/>
      <c r="J161" s="144"/>
      <c r="K161" s="145"/>
      <c r="L161" s="50">
        <v>0</v>
      </c>
      <c r="M161" s="50">
        <v>0</v>
      </c>
      <c r="N161" s="50">
        <v>0</v>
      </c>
      <c r="O161" s="50">
        <f>IF(L161&gt;0,N161*100/L161,0)</f>
        <v>0</v>
      </c>
      <c r="P161" s="50">
        <f>IF(M161&gt;0,N161*100/M161,0)</f>
        <v>0</v>
      </c>
    </row>
    <row r="162" spans="1:16" ht="18.75" hidden="1" x14ac:dyDescent="0.25">
      <c r="A162" s="136"/>
      <c r="B162" s="41"/>
      <c r="C162" s="41"/>
      <c r="D162" s="41"/>
      <c r="E162" s="254" t="s">
        <v>35</v>
      </c>
      <c r="F162" s="41"/>
      <c r="G162" s="43"/>
      <c r="H162" s="143" t="s">
        <v>12</v>
      </c>
      <c r="I162" s="144"/>
      <c r="J162" s="144"/>
      <c r="K162" s="145"/>
      <c r="L162" s="47">
        <f ca="1">IFERROR(__xludf.DUMMYFUNCTION("IMPORTRANGE(""https://docs.google.com/spreadsheets/d/1-uDff_7J0KD5mKrp0Vvzr7lt3OU09vwQwhkpOPPYv2Y/edit?usp=sharing"",""งบพรบ!CA24"")"),0)</f>
        <v>0</v>
      </c>
      <c r="M162" s="47">
        <f ca="1">IFERROR(__xludf.DUMMYFUNCTION("IMPORTRANGE(""https://docs.google.com/spreadsheets/d/1-uDff_7J0KD5mKrp0Vvzr7lt3OU09vwQwhkpOPPYv2Y/edit?usp=sharing"",""งบพรบ!CF24"")"),0)</f>
        <v>0</v>
      </c>
      <c r="N162" s="47">
        <f ca="1">IFERROR(__xludf.DUMMYFUNCTION("IMPORTRANGE(""https://docs.google.com/spreadsheets/d/1-uDff_7J0KD5mKrp0Vvzr7lt3OU09vwQwhkpOPPYv2Y/edit?usp=sharing"",""งบพรบ!CH24"")"),0)</f>
        <v>0</v>
      </c>
      <c r="O162" s="47">
        <f ca="1">IF(L162&gt;0,N162*100/L162,0)</f>
        <v>0</v>
      </c>
      <c r="P162" s="47">
        <f ca="1">IF(M162&gt;0,N162*100/M162,0)</f>
        <v>0</v>
      </c>
    </row>
    <row r="163" spans="1:16" ht="18.75" hidden="1" x14ac:dyDescent="0.25">
      <c r="A163" s="136"/>
      <c r="B163" s="41"/>
      <c r="C163" s="41"/>
      <c r="D163" s="42" t="s">
        <v>21</v>
      </c>
      <c r="E163" s="41"/>
      <c r="F163" s="41"/>
      <c r="G163" s="43"/>
      <c r="H163" s="147" t="s">
        <v>12</v>
      </c>
      <c r="I163" s="144"/>
      <c r="J163" s="144"/>
      <c r="K163" s="145"/>
      <c r="L163" s="47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</row>
    <row r="164" spans="1:16" ht="18.75" hidden="1" x14ac:dyDescent="0.25">
      <c r="A164" s="136"/>
      <c r="B164" s="41"/>
      <c r="C164" s="41"/>
      <c r="D164" s="41"/>
      <c r="E164" s="279" t="s">
        <v>18</v>
      </c>
      <c r="F164" s="41"/>
      <c r="G164" s="43"/>
      <c r="H164" s="146" t="s">
        <v>12</v>
      </c>
      <c r="I164" s="144"/>
      <c r="J164" s="144"/>
      <c r="K164" s="145"/>
      <c r="L164" s="50">
        <v>0</v>
      </c>
      <c r="M164" s="50">
        <v>0</v>
      </c>
      <c r="N164" s="50">
        <v>0</v>
      </c>
      <c r="O164" s="50">
        <f>IF(L164&gt;0,N164*100/L164,0)</f>
        <v>0</v>
      </c>
      <c r="P164" s="50">
        <f>IF(M164&gt;0,N164*100/M164,0)</f>
        <v>0</v>
      </c>
    </row>
    <row r="165" spans="1:16" ht="18.75" hidden="1" x14ac:dyDescent="0.25">
      <c r="A165" s="136"/>
      <c r="B165" s="41"/>
      <c r="C165" s="41"/>
      <c r="D165" s="41"/>
      <c r="E165" s="254" t="s">
        <v>19</v>
      </c>
      <c r="F165" s="41"/>
      <c r="G165" s="43"/>
      <c r="H165" s="147" t="s">
        <v>12</v>
      </c>
      <c r="I165" s="144"/>
      <c r="J165" s="144"/>
      <c r="K165" s="145"/>
      <c r="L165" s="47">
        <f ca="1">IFERROR(__xludf.DUMMYFUNCTION("IMPORTRANGE(""https://docs.google.com/spreadsheets/d/1-uDff_7J0KD5mKrp0Vvzr7lt3OU09vwQwhkpOPPYv2Y/edit?usp=sharing"",""งบพรบ!CD24"")"),0)</f>
        <v>0</v>
      </c>
      <c r="M165" s="47">
        <f ca="1">IFERROR(__xludf.DUMMYFUNCTION("IMPORTRANGE(""https://docs.google.com/spreadsheets/d/1-uDff_7J0KD5mKrp0Vvzr7lt3OU09vwQwhkpOPPYv2Y/edit?usp=sharing"",""งบพรบ!CG24"")"),0)</f>
        <v>0</v>
      </c>
      <c r="N165" s="47">
        <f ca="1">IFERROR(__xludf.DUMMYFUNCTION("IMPORTRANGE(""https://docs.google.com/spreadsheets/d/1-uDff_7J0KD5mKrp0Vvzr7lt3OU09vwQwhkpOPPYv2Y/edit?usp=sharing"",""งบพรบ!CI24"")"),0)</f>
        <v>0</v>
      </c>
      <c r="O165" s="47">
        <f ca="1">IF(L165&gt;0,N165*100/L165,0)</f>
        <v>0</v>
      </c>
      <c r="P165" s="47">
        <f ca="1">IF(M165&gt;0,N165*100/M165,0)</f>
        <v>0</v>
      </c>
    </row>
    <row r="166" spans="1:16" ht="19.5" hidden="1" x14ac:dyDescent="0.3">
      <c r="A166" s="148"/>
      <c r="B166" s="149"/>
      <c r="C166" s="197" t="s">
        <v>16</v>
      </c>
      <c r="D166" s="395" t="s">
        <v>36</v>
      </c>
      <c r="E166" s="151"/>
      <c r="F166" s="151"/>
      <c r="G166" s="152"/>
      <c r="H166" s="196"/>
      <c r="I166" s="45"/>
      <c r="J166" s="45"/>
      <c r="K166" s="46"/>
      <c r="L166" s="46"/>
      <c r="M166" s="46"/>
      <c r="N166" s="46"/>
      <c r="O166" s="46"/>
      <c r="P166" s="46"/>
    </row>
    <row r="167" spans="1:16" ht="18.75" hidden="1" x14ac:dyDescent="0.25">
      <c r="A167" s="136"/>
      <c r="B167" s="41"/>
      <c r="C167" s="41"/>
      <c r="D167" s="254" t="s">
        <v>63</v>
      </c>
      <c r="E167" s="41"/>
      <c r="F167" s="41"/>
      <c r="G167" s="43"/>
      <c r="H167" s="147" t="s">
        <v>33</v>
      </c>
      <c r="I167" s="169">
        <f ca="1">IFERROR(__xludf.DUMMYFUNCTION("IMPORTRANGE(""https://docs.google.com/spreadsheets/d/1eHaY18a8A9IcSdp1K8H6x8fbOy06t2VsZHhMHf-1x7Y/edit?usp=sharing"",""แผน!Z24"")"),0)</f>
        <v>0</v>
      </c>
      <c r="J167" s="250">
        <v>0</v>
      </c>
      <c r="K167" s="47">
        <f ca="1">IF(I167&gt;0,J167*100/I167,0)</f>
        <v>0</v>
      </c>
      <c r="L167" s="46"/>
      <c r="M167" s="46"/>
      <c r="N167" s="46"/>
      <c r="O167" s="46"/>
      <c r="P167" s="46"/>
    </row>
    <row r="168" spans="1:16" ht="18.75" hidden="1" x14ac:dyDescent="0.25">
      <c r="A168" s="136"/>
      <c r="B168" s="41"/>
      <c r="C168" s="41"/>
      <c r="D168" s="279" t="s">
        <v>64</v>
      </c>
      <c r="E168" s="41"/>
      <c r="F168" s="41"/>
      <c r="G168" s="43"/>
      <c r="H168" s="199" t="s">
        <v>33</v>
      </c>
      <c r="I168" s="200">
        <f ca="1">IFERROR(__xludf.DUMMYFUNCTION("IMPORTRANGE(""https://docs.google.com/spreadsheets/d/1eHaY18a8A9IcSdp1K8H6x8fbOy06t2VsZHhMHf-1x7Y/edit?usp=sharing"",""แผน!Z24"")"),0)</f>
        <v>0</v>
      </c>
      <c r="J168" s="201">
        <v>0</v>
      </c>
      <c r="K168" s="50">
        <f ca="1">IF(I168&gt;0,J168*100/I168,0)</f>
        <v>0</v>
      </c>
      <c r="L168" s="46"/>
      <c r="M168" s="46"/>
      <c r="N168" s="46"/>
      <c r="O168" s="46"/>
      <c r="P168" s="46"/>
    </row>
    <row r="169" spans="1:16" ht="18.75" hidden="1" x14ac:dyDescent="0.25">
      <c r="A169" s="202"/>
      <c r="B169" s="1"/>
      <c r="C169" s="1"/>
      <c r="D169" s="203" t="s">
        <v>65</v>
      </c>
      <c r="E169" s="1"/>
      <c r="F169" s="1"/>
      <c r="G169" s="54"/>
      <c r="H169" s="204" t="s">
        <v>33</v>
      </c>
      <c r="I169" s="205">
        <f ca="1">IFERROR(__xludf.DUMMYFUNCTION("IMPORTRANGE(""https://docs.google.com/spreadsheets/d/1eHaY18a8A9IcSdp1K8H6x8fbOy06t2VsZHhMHf-1x7Y/edit?usp=sharing"",""แผน!Z24"")"),0)</f>
        <v>0</v>
      </c>
      <c r="J169" s="206">
        <v>0</v>
      </c>
      <c r="K169" s="207">
        <f ca="1">IF(I169&gt;0,J169*100/I169,0)</f>
        <v>0</v>
      </c>
      <c r="L169" s="57"/>
      <c r="M169" s="57"/>
      <c r="N169" s="57"/>
      <c r="O169" s="57"/>
      <c r="P169" s="57"/>
    </row>
    <row r="170" spans="1:16" ht="19.5" x14ac:dyDescent="0.3">
      <c r="A170" s="208" t="s">
        <v>66</v>
      </c>
      <c r="B170" s="209"/>
      <c r="C170" s="209"/>
      <c r="D170" s="209"/>
      <c r="E170" s="210"/>
      <c r="F170" s="210"/>
      <c r="G170" s="210"/>
      <c r="H170" s="210"/>
      <c r="I170" s="211"/>
      <c r="J170" s="211"/>
      <c r="K170" s="212"/>
      <c r="L170" s="212"/>
      <c r="M170" s="212"/>
      <c r="N170" s="212"/>
      <c r="O170" s="212"/>
      <c r="P170" s="213"/>
    </row>
    <row r="171" spans="1:16" ht="19.5" x14ac:dyDescent="0.3">
      <c r="A171" s="214" t="s">
        <v>67</v>
      </c>
      <c r="B171" s="215"/>
      <c r="C171" s="215"/>
      <c r="D171" s="216"/>
      <c r="E171" s="216"/>
      <c r="F171" s="216"/>
      <c r="G171" s="216"/>
      <c r="H171" s="217"/>
      <c r="I171" s="218"/>
      <c r="J171" s="218"/>
      <c r="K171" s="219"/>
      <c r="L171" s="219"/>
      <c r="M171" s="219"/>
      <c r="N171" s="219"/>
      <c r="O171" s="219"/>
      <c r="P171" s="219"/>
    </row>
    <row r="172" spans="1:16" ht="19.5" x14ac:dyDescent="0.3">
      <c r="A172" s="220"/>
      <c r="B172" s="221" t="s">
        <v>68</v>
      </c>
      <c r="C172" s="222"/>
      <c r="D172" s="151"/>
      <c r="E172" s="151"/>
      <c r="F172" s="151"/>
      <c r="G172" s="152"/>
      <c r="H172" s="223" t="s">
        <v>33</v>
      </c>
      <c r="I172" s="224">
        <f ca="1">I183+I184</f>
        <v>7</v>
      </c>
      <c r="J172" s="224">
        <f>J183+J184</f>
        <v>0</v>
      </c>
      <c r="K172" s="225">
        <f ca="1">IF(I172&gt;0,J172*100/I172,0)</f>
        <v>0</v>
      </c>
      <c r="L172" s="226"/>
      <c r="M172" s="226"/>
      <c r="N172" s="226"/>
      <c r="O172" s="226"/>
      <c r="P172" s="226"/>
    </row>
    <row r="173" spans="1:16" ht="19.5" x14ac:dyDescent="0.3">
      <c r="A173" s="136"/>
      <c r="B173" s="41"/>
      <c r="C173" s="197" t="s">
        <v>16</v>
      </c>
      <c r="D173" s="397" t="s">
        <v>17</v>
      </c>
      <c r="E173" s="41"/>
      <c r="F173" s="41"/>
      <c r="G173" s="43"/>
      <c r="H173" s="139" t="s">
        <v>12</v>
      </c>
      <c r="I173" s="45"/>
      <c r="J173" s="45"/>
      <c r="K173" s="46"/>
      <c r="L173" s="140">
        <f ca="1">L174+L175</f>
        <v>19590</v>
      </c>
      <c r="M173" s="140">
        <f ca="1">M174+M175</f>
        <v>19590</v>
      </c>
      <c r="N173" s="140">
        <f ca="1">N174+N175</f>
        <v>0</v>
      </c>
      <c r="O173" s="140">
        <f ca="1">IF(L173&gt;0,N173*100/L173,0)</f>
        <v>0</v>
      </c>
      <c r="P173" s="140">
        <f ca="1">IF(M173&gt;0,N173*100/M173,0)</f>
        <v>0</v>
      </c>
    </row>
    <row r="174" spans="1:16" ht="18.75" hidden="1" x14ac:dyDescent="0.25">
      <c r="A174" s="136"/>
      <c r="B174" s="41"/>
      <c r="C174" s="41"/>
      <c r="D174" s="41"/>
      <c r="E174" s="279" t="s">
        <v>18</v>
      </c>
      <c r="F174" s="41"/>
      <c r="G174" s="43"/>
      <c r="H174" s="141" t="s">
        <v>12</v>
      </c>
      <c r="I174" s="45"/>
      <c r="J174" s="45"/>
      <c r="K174" s="46"/>
      <c r="L174" s="50">
        <f>L177+L180</f>
        <v>0</v>
      </c>
      <c r="M174" s="50">
        <f>M177+M180</f>
        <v>0</v>
      </c>
      <c r="N174" s="50">
        <f>N177+N180</f>
        <v>0</v>
      </c>
      <c r="O174" s="50">
        <f>IF(L174&gt;0,N174*100/L174,0)</f>
        <v>0</v>
      </c>
      <c r="P174" s="50">
        <f>IF(M174&gt;0,N174*100/M174,0)</f>
        <v>0</v>
      </c>
    </row>
    <row r="175" spans="1:16" ht="18.75" x14ac:dyDescent="0.25">
      <c r="A175" s="136"/>
      <c r="B175" s="41"/>
      <c r="C175" s="41"/>
      <c r="D175" s="41"/>
      <c r="E175" s="254" t="s">
        <v>19</v>
      </c>
      <c r="F175" s="41"/>
      <c r="G175" s="43"/>
      <c r="H175" s="142" t="s">
        <v>12</v>
      </c>
      <c r="I175" s="45"/>
      <c r="J175" s="45"/>
      <c r="K175" s="46"/>
      <c r="L175" s="47">
        <f ca="1">L178+L181</f>
        <v>19590</v>
      </c>
      <c r="M175" s="47">
        <f ca="1">M178+M181</f>
        <v>19590</v>
      </c>
      <c r="N175" s="47">
        <f ca="1">N178+N181</f>
        <v>0</v>
      </c>
      <c r="O175" s="47">
        <f ca="1">IF(L175&gt;0,N175*100/L175,0)</f>
        <v>0</v>
      </c>
      <c r="P175" s="47">
        <f ca="1">IF(M175&gt;0,N175*100/M175,0)</f>
        <v>0</v>
      </c>
    </row>
    <row r="176" spans="1:16" ht="18.75" x14ac:dyDescent="0.25">
      <c r="A176" s="136"/>
      <c r="B176" s="41"/>
      <c r="C176" s="41"/>
      <c r="D176" s="42" t="s">
        <v>20</v>
      </c>
      <c r="E176" s="41"/>
      <c r="F176" s="41"/>
      <c r="G176" s="43"/>
      <c r="H176" s="143" t="s">
        <v>12</v>
      </c>
      <c r="I176" s="144"/>
      <c r="J176" s="144"/>
      <c r="K176" s="145"/>
      <c r="L176" s="47">
        <f ca="1">L177+L178</f>
        <v>19590</v>
      </c>
      <c r="M176" s="47">
        <f ca="1">M177+M178</f>
        <v>19590</v>
      </c>
      <c r="N176" s="47">
        <f ca="1">N177+N178</f>
        <v>0</v>
      </c>
      <c r="O176" s="47">
        <f ca="1">IF(L176&gt;0,N176*100/L176,0)</f>
        <v>0</v>
      </c>
      <c r="P176" s="47">
        <f ca="1">IF(M176&gt;0,N176*100/M176,0)</f>
        <v>0</v>
      </c>
    </row>
    <row r="177" spans="1:16" ht="18.75" hidden="1" x14ac:dyDescent="0.25">
      <c r="A177" s="136"/>
      <c r="B177" s="41"/>
      <c r="C177" s="41"/>
      <c r="D177" s="41"/>
      <c r="E177" s="279" t="s">
        <v>34</v>
      </c>
      <c r="F177" s="41"/>
      <c r="G177" s="43"/>
      <c r="H177" s="146" t="s">
        <v>12</v>
      </c>
      <c r="I177" s="144"/>
      <c r="J177" s="144"/>
      <c r="K177" s="145"/>
      <c r="L177" s="50">
        <v>0</v>
      </c>
      <c r="M177" s="50">
        <v>0</v>
      </c>
      <c r="N177" s="50">
        <v>0</v>
      </c>
      <c r="O177" s="50">
        <f>IF(L177&gt;0,N177*100/L177,0)</f>
        <v>0</v>
      </c>
      <c r="P177" s="50">
        <f>IF(M177&gt;0,N177*100/M177,0)</f>
        <v>0</v>
      </c>
    </row>
    <row r="178" spans="1:16" ht="18.75" x14ac:dyDescent="0.25">
      <c r="A178" s="136"/>
      <c r="B178" s="41"/>
      <c r="C178" s="41"/>
      <c r="D178" s="41"/>
      <c r="E178" s="254" t="s">
        <v>35</v>
      </c>
      <c r="F178" s="41"/>
      <c r="G178" s="43"/>
      <c r="H178" s="143" t="s">
        <v>12</v>
      </c>
      <c r="I178" s="144"/>
      <c r="J178" s="144"/>
      <c r="K178" s="145"/>
      <c r="L178" s="47">
        <f ca="1">IFERROR(__xludf.DUMMYFUNCTION("IMPORTRANGE(""https://docs.google.com/spreadsheets/d/1-uDff_7J0KD5mKrp0Vvzr7lt3OU09vwQwhkpOPPYv2Y/edit?usp=sharing"",""งบพรบ!CK24"")"),19590)</f>
        <v>19590</v>
      </c>
      <c r="M178" s="47">
        <f ca="1">IFERROR(__xludf.DUMMYFUNCTION("IMPORTRANGE(""https://docs.google.com/spreadsheets/d/1-uDff_7J0KD5mKrp0Vvzr7lt3OU09vwQwhkpOPPYv2Y/edit?usp=sharing"",""งบพรบ!CP24"")"),19590)</f>
        <v>19590</v>
      </c>
      <c r="N178" s="47">
        <f ca="1">IFERROR(__xludf.DUMMYFUNCTION("IMPORTRANGE(""https://docs.google.com/spreadsheets/d/1-uDff_7J0KD5mKrp0Vvzr7lt3OU09vwQwhkpOPPYv2Y/edit?usp=sharing"",""งบพรบ!CR24"")"),0)</f>
        <v>0</v>
      </c>
      <c r="O178" s="47">
        <f ca="1">IF(L178&gt;0,N178*100/L178,0)</f>
        <v>0</v>
      </c>
      <c r="P178" s="47">
        <f ca="1">IF(M178&gt;0,N178*100/M178,0)</f>
        <v>0</v>
      </c>
    </row>
    <row r="179" spans="1:16" ht="18.75" x14ac:dyDescent="0.25">
      <c r="A179" s="136"/>
      <c r="B179" s="41"/>
      <c r="C179" s="41"/>
      <c r="D179" s="42" t="s">
        <v>21</v>
      </c>
      <c r="E179" s="41"/>
      <c r="F179" s="41"/>
      <c r="G179" s="43"/>
      <c r="H179" s="147" t="s">
        <v>12</v>
      </c>
      <c r="I179" s="144"/>
      <c r="J179" s="144"/>
      <c r="K179" s="145"/>
      <c r="L179" s="47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</row>
    <row r="180" spans="1:16" ht="18.75" hidden="1" x14ac:dyDescent="0.25">
      <c r="A180" s="136"/>
      <c r="B180" s="41"/>
      <c r="C180" s="41"/>
      <c r="D180" s="41"/>
      <c r="E180" s="279" t="s">
        <v>18</v>
      </c>
      <c r="F180" s="41"/>
      <c r="G180" s="43"/>
      <c r="H180" s="146" t="s">
        <v>12</v>
      </c>
      <c r="I180" s="144"/>
      <c r="J180" s="144"/>
      <c r="K180" s="145"/>
      <c r="L180" s="50">
        <v>0</v>
      </c>
      <c r="M180" s="50">
        <v>0</v>
      </c>
      <c r="N180" s="50">
        <v>0</v>
      </c>
      <c r="O180" s="50">
        <f>IF(L180&gt;0,N180*100/L180,0)</f>
        <v>0</v>
      </c>
      <c r="P180" s="50">
        <f>IF(M180&gt;0,N180*100/M180,0)</f>
        <v>0</v>
      </c>
    </row>
    <row r="181" spans="1:16" ht="18.75" x14ac:dyDescent="0.25">
      <c r="A181" s="136"/>
      <c r="B181" s="41"/>
      <c r="C181" s="41"/>
      <c r="D181" s="41"/>
      <c r="E181" s="254" t="s">
        <v>19</v>
      </c>
      <c r="F181" s="41"/>
      <c r="G181" s="43"/>
      <c r="H181" s="147" t="s">
        <v>12</v>
      </c>
      <c r="I181" s="144"/>
      <c r="J181" s="144"/>
      <c r="K181" s="145"/>
      <c r="L181" s="47">
        <f ca="1">IFERROR(__xludf.DUMMYFUNCTION("IMPORTRANGE(""https://docs.google.com/spreadsheets/d/1-uDff_7J0KD5mKrp0Vvzr7lt3OU09vwQwhkpOPPYv2Y/edit?usp=sharing"",""งบพรบ!CN24"")"),0)</f>
        <v>0</v>
      </c>
      <c r="M181" s="47">
        <f ca="1">IFERROR(__xludf.DUMMYFUNCTION("IMPORTRANGE(""https://docs.google.com/spreadsheets/d/1-uDff_7J0KD5mKrp0Vvzr7lt3OU09vwQwhkpOPPYv2Y/edit?usp=sharing"",""งบพรบ!CQ24"")"),0)</f>
        <v>0</v>
      </c>
      <c r="N181" s="47">
        <f ca="1">IFERROR(__xludf.DUMMYFUNCTION("IMPORTRANGE(""https://docs.google.com/spreadsheets/d/1-uDff_7J0KD5mKrp0Vvzr7lt3OU09vwQwhkpOPPYv2Y/edit?usp=sharing"",""งบพรบ!CS24"")"),0)</f>
        <v>0</v>
      </c>
      <c r="O181" s="47">
        <f ca="1">IF(L181&gt;0,N181*100/L181,0)</f>
        <v>0</v>
      </c>
      <c r="P181" s="47">
        <f ca="1">IF(M181&gt;0,N181*100/M181,0)</f>
        <v>0</v>
      </c>
    </row>
    <row r="182" spans="1:16" ht="19.5" x14ac:dyDescent="0.3">
      <c r="A182" s="148"/>
      <c r="B182" s="149"/>
      <c r="C182" s="197" t="s">
        <v>16</v>
      </c>
      <c r="D182" s="395" t="s">
        <v>36</v>
      </c>
      <c r="E182" s="151"/>
      <c r="F182" s="151"/>
      <c r="G182" s="152"/>
      <c r="H182" s="196"/>
      <c r="I182" s="45"/>
      <c r="J182" s="45"/>
      <c r="K182" s="46"/>
      <c r="L182" s="46"/>
      <c r="M182" s="46"/>
      <c r="N182" s="46"/>
      <c r="O182" s="46"/>
      <c r="P182" s="46"/>
    </row>
    <row r="183" spans="1:16" ht="18.75" x14ac:dyDescent="0.25">
      <c r="A183" s="227"/>
      <c r="B183" s="41"/>
      <c r="C183" s="228"/>
      <c r="D183" s="229" t="s">
        <v>69</v>
      </c>
      <c r="E183" s="41"/>
      <c r="F183" s="41"/>
      <c r="G183" s="43"/>
      <c r="H183" s="230" t="s">
        <v>33</v>
      </c>
      <c r="I183" s="169">
        <f ca="1">IFERROR(__xludf.DUMMYFUNCTION("IMPORTRANGE(""https://docs.google.com/spreadsheets/d/1eHaY18a8A9IcSdp1K8H6x8fbOy06t2VsZHhMHf-1x7Y/edit?usp=sharing"",""แผน!AA24"")"),7)</f>
        <v>7</v>
      </c>
      <c r="J183" s="250">
        <v>0</v>
      </c>
      <c r="K183" s="47">
        <f ca="1">IF(I183&gt;0,J183*100/I183,0)</f>
        <v>0</v>
      </c>
      <c r="L183" s="46"/>
      <c r="M183" s="46"/>
      <c r="N183" s="46"/>
      <c r="O183" s="46"/>
      <c r="P183" s="46"/>
    </row>
    <row r="184" spans="1:16" ht="18.75" hidden="1" x14ac:dyDescent="0.25">
      <c r="A184" s="227"/>
      <c r="B184" s="228"/>
      <c r="C184" s="228"/>
      <c r="D184" s="231" t="s">
        <v>70</v>
      </c>
      <c r="E184" s="41"/>
      <c r="F184" s="41"/>
      <c r="G184" s="43"/>
      <c r="H184" s="232" t="s">
        <v>33</v>
      </c>
      <c r="I184" s="200">
        <v>0</v>
      </c>
      <c r="J184" s="200">
        <v>0</v>
      </c>
      <c r="K184" s="50">
        <f>IF(I184&gt;0,J184*100/I184,0)</f>
        <v>0</v>
      </c>
      <c r="L184" s="46"/>
      <c r="M184" s="46"/>
      <c r="N184" s="46"/>
      <c r="O184" s="46"/>
      <c r="P184" s="46"/>
    </row>
    <row r="185" spans="1:16" ht="19.5" x14ac:dyDescent="0.3">
      <c r="A185" s="220"/>
      <c r="B185" s="221" t="s">
        <v>71</v>
      </c>
      <c r="C185" s="222"/>
      <c r="D185" s="151"/>
      <c r="E185" s="151"/>
      <c r="F185" s="151"/>
      <c r="G185" s="152"/>
      <c r="H185" s="223" t="s">
        <v>33</v>
      </c>
      <c r="I185" s="224">
        <f ca="1">I230+I231</f>
        <v>0</v>
      </c>
      <c r="J185" s="224">
        <f>J230+J231</f>
        <v>0</v>
      </c>
      <c r="K185" s="225">
        <f ca="1">IF(I185&gt;0,J185*100/I185,0)</f>
        <v>0</v>
      </c>
      <c r="L185" s="226"/>
      <c r="M185" s="226"/>
      <c r="N185" s="226"/>
      <c r="O185" s="226"/>
      <c r="P185" s="226"/>
    </row>
    <row r="186" spans="1:16" ht="19.5" x14ac:dyDescent="0.3">
      <c r="A186" s="136"/>
      <c r="B186" s="41"/>
      <c r="C186" s="197" t="s">
        <v>16</v>
      </c>
      <c r="D186" s="397" t="s">
        <v>17</v>
      </c>
      <c r="E186" s="41"/>
      <c r="F186" s="41"/>
      <c r="G186" s="43"/>
      <c r="H186" s="139" t="s">
        <v>12</v>
      </c>
      <c r="I186" s="45"/>
      <c r="J186" s="45"/>
      <c r="K186" s="46"/>
      <c r="L186" s="140">
        <f ca="1">L187+L188</f>
        <v>140500</v>
      </c>
      <c r="M186" s="140">
        <f ca="1">M187+M188</f>
        <v>87500</v>
      </c>
      <c r="N186" s="140">
        <f ca="1">N187+N188</f>
        <v>11700</v>
      </c>
      <c r="O186" s="140">
        <f ca="1">IF(L186&gt;0,N186*100/L186,0)</f>
        <v>8.327402135231317</v>
      </c>
      <c r="P186" s="140">
        <f ca="1">IF(M186&gt;0,N186*100/M186,0)</f>
        <v>13.371428571428572</v>
      </c>
    </row>
    <row r="187" spans="1:16" ht="18.75" hidden="1" x14ac:dyDescent="0.25">
      <c r="A187" s="136"/>
      <c r="B187" s="41"/>
      <c r="C187" s="41"/>
      <c r="D187" s="41"/>
      <c r="E187" s="279" t="s">
        <v>18</v>
      </c>
      <c r="F187" s="41"/>
      <c r="G187" s="43"/>
      <c r="H187" s="141" t="s">
        <v>12</v>
      </c>
      <c r="I187" s="45"/>
      <c r="J187" s="45"/>
      <c r="K187" s="46"/>
      <c r="L187" s="50">
        <f>L190+L193</f>
        <v>0</v>
      </c>
      <c r="M187" s="50">
        <f>M190+M193</f>
        <v>0</v>
      </c>
      <c r="N187" s="50">
        <f>N190+N193</f>
        <v>0</v>
      </c>
      <c r="O187" s="50">
        <f>IF(L187&gt;0,N187*100/L187,0)</f>
        <v>0</v>
      </c>
      <c r="P187" s="50">
        <f>IF(M187&gt;0,N187*100/M187,0)</f>
        <v>0</v>
      </c>
    </row>
    <row r="188" spans="1:16" ht="18.75" x14ac:dyDescent="0.25">
      <c r="A188" s="136"/>
      <c r="B188" s="41"/>
      <c r="C188" s="41"/>
      <c r="D188" s="41"/>
      <c r="E188" s="254" t="s">
        <v>19</v>
      </c>
      <c r="F188" s="41"/>
      <c r="G188" s="43"/>
      <c r="H188" s="142" t="s">
        <v>12</v>
      </c>
      <c r="I188" s="45"/>
      <c r="J188" s="45"/>
      <c r="K188" s="46"/>
      <c r="L188" s="47">
        <f ca="1">L191+L194</f>
        <v>140500</v>
      </c>
      <c r="M188" s="47">
        <f ca="1">M191+M194</f>
        <v>87500</v>
      </c>
      <c r="N188" s="47">
        <f ca="1">N191+N194</f>
        <v>11700</v>
      </c>
      <c r="O188" s="47">
        <f ca="1">IF(L188&gt;0,N188*100/L188,0)</f>
        <v>8.327402135231317</v>
      </c>
      <c r="P188" s="47">
        <f ca="1">IF(M188&gt;0,N188*100/M188,0)</f>
        <v>13.371428571428572</v>
      </c>
    </row>
    <row r="189" spans="1:16" ht="18.75" x14ac:dyDescent="0.25">
      <c r="A189" s="136"/>
      <c r="B189" s="41"/>
      <c r="C189" s="41"/>
      <c r="D189" s="42" t="s">
        <v>20</v>
      </c>
      <c r="E189" s="41"/>
      <c r="F189" s="41"/>
      <c r="G189" s="43"/>
      <c r="H189" s="143" t="s">
        <v>12</v>
      </c>
      <c r="I189" s="144"/>
      <c r="J189" s="144"/>
      <c r="K189" s="145"/>
      <c r="L189" s="47">
        <f ca="1">L190+L191</f>
        <v>140500</v>
      </c>
      <c r="M189" s="47">
        <f ca="1">M190+M191</f>
        <v>87500</v>
      </c>
      <c r="N189" s="47">
        <f ca="1">N190+N191</f>
        <v>11700</v>
      </c>
      <c r="O189" s="47">
        <f ca="1">IF(L189&gt;0,N189*100/L189,0)</f>
        <v>8.327402135231317</v>
      </c>
      <c r="P189" s="47">
        <f ca="1">IF(M189&gt;0,N189*100/M189,0)</f>
        <v>13.371428571428572</v>
      </c>
    </row>
    <row r="190" spans="1:16" ht="18.75" hidden="1" x14ac:dyDescent="0.25">
      <c r="A190" s="136"/>
      <c r="B190" s="41"/>
      <c r="C190" s="41"/>
      <c r="D190" s="41"/>
      <c r="E190" s="279" t="s">
        <v>34</v>
      </c>
      <c r="F190" s="41"/>
      <c r="G190" s="43"/>
      <c r="H190" s="146" t="s">
        <v>12</v>
      </c>
      <c r="I190" s="144"/>
      <c r="J190" s="144"/>
      <c r="K190" s="145"/>
      <c r="L190" s="50">
        <v>0</v>
      </c>
      <c r="M190" s="50">
        <v>0</v>
      </c>
      <c r="N190" s="50">
        <v>0</v>
      </c>
      <c r="O190" s="50">
        <f>IF(L190&gt;0,N190*100/L190,0)</f>
        <v>0</v>
      </c>
      <c r="P190" s="50">
        <f>IF(M190&gt;0,N190*100/M190,0)</f>
        <v>0</v>
      </c>
    </row>
    <row r="191" spans="1:16" ht="18.75" x14ac:dyDescent="0.25">
      <c r="A191" s="136"/>
      <c r="B191" s="41"/>
      <c r="C191" s="41"/>
      <c r="D191" s="41"/>
      <c r="E191" s="254" t="s">
        <v>35</v>
      </c>
      <c r="F191" s="41"/>
      <c r="G191" s="43"/>
      <c r="H191" s="143" t="s">
        <v>12</v>
      </c>
      <c r="I191" s="144"/>
      <c r="J191" s="144"/>
      <c r="K191" s="145"/>
      <c r="L191" s="47">
        <f ca="1">IFERROR(__xludf.DUMMYFUNCTION("IMPORTRANGE(""https://docs.google.com/spreadsheets/d/1-uDff_7J0KD5mKrp0Vvzr7lt3OU09vwQwhkpOPPYv2Y/edit?usp=sharing"",""งบพรบ!CU24"")"),140500)</f>
        <v>140500</v>
      </c>
      <c r="M191" s="47">
        <f ca="1">IFERROR(__xludf.DUMMYFUNCTION("IMPORTRANGE(""https://docs.google.com/spreadsheets/d/1-uDff_7J0KD5mKrp0Vvzr7lt3OU09vwQwhkpOPPYv2Y/edit?usp=sharing"",""งบพรบ!CZ24"")"),87500)</f>
        <v>87500</v>
      </c>
      <c r="N191" s="47">
        <f ca="1">IFERROR(__xludf.DUMMYFUNCTION("IMPORTRANGE(""https://docs.google.com/spreadsheets/d/1-uDff_7J0KD5mKrp0Vvzr7lt3OU09vwQwhkpOPPYv2Y/edit?usp=sharing"",""งบพรบ!DB24"")"),11700)</f>
        <v>11700</v>
      </c>
      <c r="O191" s="47">
        <f ca="1">IF(L191&gt;0,N191*100/L191,0)</f>
        <v>8.327402135231317</v>
      </c>
      <c r="P191" s="47">
        <f ca="1">IF(M191&gt;0,N191*100/M191,0)</f>
        <v>13.371428571428572</v>
      </c>
    </row>
    <row r="192" spans="1:16" ht="18.75" x14ac:dyDescent="0.25">
      <c r="A192" s="136"/>
      <c r="B192" s="41"/>
      <c r="C192" s="41"/>
      <c r="D192" s="42" t="s">
        <v>21</v>
      </c>
      <c r="E192" s="41"/>
      <c r="F192" s="41"/>
      <c r="G192" s="43"/>
      <c r="H192" s="147" t="s">
        <v>12</v>
      </c>
      <c r="I192" s="144"/>
      <c r="J192" s="144"/>
      <c r="K192" s="145"/>
      <c r="L192" s="47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</row>
    <row r="193" spans="1:16" ht="18.75" hidden="1" x14ac:dyDescent="0.25">
      <c r="A193" s="136"/>
      <c r="B193" s="41"/>
      <c r="C193" s="41"/>
      <c r="D193" s="41"/>
      <c r="E193" s="279" t="s">
        <v>18</v>
      </c>
      <c r="F193" s="41"/>
      <c r="G193" s="43"/>
      <c r="H193" s="146" t="s">
        <v>12</v>
      </c>
      <c r="I193" s="144"/>
      <c r="J193" s="144"/>
      <c r="K193" s="145"/>
      <c r="L193" s="50">
        <v>0</v>
      </c>
      <c r="M193" s="50">
        <v>0</v>
      </c>
      <c r="N193" s="50">
        <v>0</v>
      </c>
      <c r="O193" s="50">
        <f>IF(L193&gt;0,N193*100/L193,0)</f>
        <v>0</v>
      </c>
      <c r="P193" s="50">
        <f>IF(M193&gt;0,N193*100/M193,0)</f>
        <v>0</v>
      </c>
    </row>
    <row r="194" spans="1:16" ht="18.75" x14ac:dyDescent="0.25">
      <c r="A194" s="136"/>
      <c r="B194" s="41"/>
      <c r="C194" s="41"/>
      <c r="D194" s="41"/>
      <c r="E194" s="254" t="s">
        <v>19</v>
      </c>
      <c r="F194" s="41"/>
      <c r="G194" s="43"/>
      <c r="H194" s="147" t="s">
        <v>12</v>
      </c>
      <c r="I194" s="144"/>
      <c r="J194" s="144"/>
      <c r="K194" s="145"/>
      <c r="L194" s="47">
        <f ca="1">IFERROR(__xludf.DUMMYFUNCTION("IMPORTRANGE(""https://docs.google.com/spreadsheets/d/1-uDff_7J0KD5mKrp0Vvzr7lt3OU09vwQwhkpOPPYv2Y/edit?usp=sharing"",""งบพรบ!CX24"")"),0)</f>
        <v>0</v>
      </c>
      <c r="M194" s="47">
        <f ca="1">IFERROR(__xludf.DUMMYFUNCTION("IMPORTRANGE(""https://docs.google.com/spreadsheets/d/1-uDff_7J0KD5mKrp0Vvzr7lt3OU09vwQwhkpOPPYv2Y/edit?usp=sharing"",""งบพรบ!DA24"")"),0)</f>
        <v>0</v>
      </c>
      <c r="N194" s="47">
        <f ca="1">IFERROR(__xludf.DUMMYFUNCTION("IMPORTRANGE(""https://docs.google.com/spreadsheets/d/1-uDff_7J0KD5mKrp0Vvzr7lt3OU09vwQwhkpOPPYv2Y/edit?usp=sharing"",""งบพรบ!DC24"")"),0)</f>
        <v>0</v>
      </c>
      <c r="O194" s="47">
        <f ca="1">IF(L194&gt;0,N194*100/L194,0)</f>
        <v>0</v>
      </c>
      <c r="P194" s="47">
        <f ca="1">IF(M194&gt;0,N194*100/M194,0)</f>
        <v>0</v>
      </c>
    </row>
    <row r="195" spans="1:16" ht="19.5" x14ac:dyDescent="0.3">
      <c r="A195" s="233"/>
      <c r="B195" s="234"/>
      <c r="C195" s="235" t="s">
        <v>72</v>
      </c>
      <c r="D195" s="236"/>
      <c r="E195" s="236"/>
      <c r="F195" s="236"/>
      <c r="G195" s="237"/>
      <c r="H195" s="238" t="s">
        <v>73</v>
      </c>
      <c r="I195" s="239">
        <f ca="1">I198</f>
        <v>4</v>
      </c>
      <c r="J195" s="239">
        <f>J198</f>
        <v>0</v>
      </c>
      <c r="K195" s="240">
        <f ca="1">IF(I195&gt;0,J195*100/I195,0)</f>
        <v>0</v>
      </c>
      <c r="L195" s="241"/>
      <c r="M195" s="241"/>
      <c r="N195" s="241"/>
      <c r="O195" s="241"/>
      <c r="P195" s="241"/>
    </row>
    <row r="196" spans="1:16" ht="19.5" x14ac:dyDescent="0.3">
      <c r="A196" s="136"/>
      <c r="B196" s="41"/>
      <c r="C196" s="197" t="s">
        <v>16</v>
      </c>
      <c r="D196" s="400" t="s">
        <v>17</v>
      </c>
      <c r="E196" s="41"/>
      <c r="F196" s="41"/>
      <c r="G196" s="43"/>
      <c r="H196" s="243" t="s">
        <v>12</v>
      </c>
      <c r="I196" s="45"/>
      <c r="J196" s="45"/>
      <c r="K196" s="46"/>
      <c r="L196" s="140">
        <f ca="1">IFERROR(__xludf.DUMMYFUNCTION("IMPORTRANGE(""https://docs.google.com/spreadsheets/d/1eHaY18a8A9IcSdp1K8H6x8fbOy06t2VsZHhMHf-1x7Y/edit?usp=sharing"",""แผน!AB24"")"),6000)</f>
        <v>6000</v>
      </c>
      <c r="M196" s="46"/>
      <c r="N196" s="244">
        <v>0</v>
      </c>
      <c r="O196" s="140">
        <f ca="1">IF(L196&gt;0,N196*100/L196,0)</f>
        <v>0</v>
      </c>
      <c r="P196" s="140">
        <f>IF(M196&gt;0,N196*100/M196,0)</f>
        <v>0</v>
      </c>
    </row>
    <row r="197" spans="1:16" ht="19.5" x14ac:dyDescent="0.3">
      <c r="A197" s="148"/>
      <c r="B197" s="149"/>
      <c r="C197" s="197" t="s">
        <v>16</v>
      </c>
      <c r="D197" s="395" t="s">
        <v>36</v>
      </c>
      <c r="E197" s="151"/>
      <c r="F197" s="151"/>
      <c r="G197" s="152"/>
      <c r="H197" s="153"/>
      <c r="I197" s="45"/>
      <c r="J197" s="45"/>
      <c r="K197" s="46"/>
      <c r="L197" s="46"/>
      <c r="M197" s="46"/>
      <c r="N197" s="46"/>
      <c r="O197" s="46"/>
      <c r="P197" s="46"/>
    </row>
    <row r="198" spans="1:16" ht="18.75" x14ac:dyDescent="0.25">
      <c r="A198" s="148"/>
      <c r="B198" s="149"/>
      <c r="C198" s="149"/>
      <c r="D198" s="159" t="s">
        <v>74</v>
      </c>
      <c r="E198" s="155"/>
      <c r="F198" s="155"/>
      <c r="G198" s="153"/>
      <c r="H198" s="251" t="s">
        <v>73</v>
      </c>
      <c r="I198" s="169">
        <f ca="1">IFERROR(__xludf.DUMMYFUNCTION("IMPORTRANGE(""https://docs.google.com/spreadsheets/d/1eHaY18a8A9IcSdp1K8H6x8fbOy06t2VsZHhMHf-1x7Y/edit?usp=sharing"",""แผน!AE24"")"),4)</f>
        <v>4</v>
      </c>
      <c r="J198" s="250">
        <v>0</v>
      </c>
      <c r="K198" s="47">
        <f ca="1">IF(I198&gt;0,J198*100/I198,0)</f>
        <v>0</v>
      </c>
      <c r="L198" s="46"/>
      <c r="M198" s="46"/>
      <c r="N198" s="46"/>
      <c r="O198" s="46"/>
      <c r="P198" s="46"/>
    </row>
    <row r="199" spans="1:16" ht="18.75" x14ac:dyDescent="0.25">
      <c r="A199" s="148"/>
      <c r="B199" s="149"/>
      <c r="C199" s="149"/>
      <c r="D199" s="159" t="s">
        <v>75</v>
      </c>
      <c r="E199" s="155"/>
      <c r="F199" s="155"/>
      <c r="G199" s="153"/>
      <c r="H199" s="230" t="s">
        <v>33</v>
      </c>
      <c r="I199" s="45"/>
      <c r="J199" s="169">
        <f>J200+J201</f>
        <v>0</v>
      </c>
      <c r="K199" s="46"/>
      <c r="L199" s="46"/>
      <c r="M199" s="46"/>
      <c r="N199" s="46"/>
      <c r="O199" s="46"/>
      <c r="P199" s="46"/>
    </row>
    <row r="200" spans="1:16" ht="18.75" x14ac:dyDescent="0.25">
      <c r="A200" s="148"/>
      <c r="B200" s="149"/>
      <c r="C200" s="149"/>
      <c r="D200" s="149"/>
      <c r="E200" s="159" t="s">
        <v>76</v>
      </c>
      <c r="F200" s="155"/>
      <c r="G200" s="153"/>
      <c r="H200" s="230" t="s">
        <v>33</v>
      </c>
      <c r="I200" s="45"/>
      <c r="J200" s="250">
        <v>0</v>
      </c>
      <c r="K200" s="46"/>
      <c r="L200" s="46"/>
      <c r="M200" s="46"/>
      <c r="N200" s="46"/>
      <c r="O200" s="46"/>
      <c r="P200" s="46"/>
    </row>
    <row r="201" spans="1:16" ht="18.75" x14ac:dyDescent="0.25">
      <c r="A201" s="148"/>
      <c r="B201" s="149"/>
      <c r="C201" s="149"/>
      <c r="D201" s="149"/>
      <c r="E201" s="159" t="s">
        <v>77</v>
      </c>
      <c r="F201" s="155"/>
      <c r="G201" s="153"/>
      <c r="H201" s="230" t="s">
        <v>33</v>
      </c>
      <c r="I201" s="45"/>
      <c r="J201" s="250">
        <v>0</v>
      </c>
      <c r="K201" s="46"/>
      <c r="L201" s="46"/>
      <c r="M201" s="46"/>
      <c r="N201" s="46"/>
      <c r="O201" s="46"/>
      <c r="P201" s="46"/>
    </row>
    <row r="202" spans="1:16" ht="19.5" x14ac:dyDescent="0.3">
      <c r="A202" s="233"/>
      <c r="B202" s="234"/>
      <c r="C202" s="235" t="s">
        <v>78</v>
      </c>
      <c r="D202" s="236"/>
      <c r="E202" s="236"/>
      <c r="F202" s="236"/>
      <c r="G202" s="237"/>
      <c r="H202" s="245" t="s">
        <v>79</v>
      </c>
      <c r="I202" s="239">
        <f ca="1">I209</f>
        <v>2</v>
      </c>
      <c r="J202" s="239">
        <f>J209</f>
        <v>0</v>
      </c>
      <c r="K202" s="240">
        <f ca="1">IF(I202&gt;0,J202*100/I202,0)</f>
        <v>0</v>
      </c>
      <c r="L202" s="241"/>
      <c r="M202" s="241"/>
      <c r="N202" s="241"/>
      <c r="O202" s="241"/>
      <c r="P202" s="241"/>
    </row>
    <row r="203" spans="1:16" ht="19.5" x14ac:dyDescent="0.3">
      <c r="A203" s="136"/>
      <c r="B203" s="41"/>
      <c r="C203" s="197" t="s">
        <v>16</v>
      </c>
      <c r="D203" s="400" t="s">
        <v>17</v>
      </c>
      <c r="E203" s="41"/>
      <c r="F203" s="41"/>
      <c r="G203" s="43"/>
      <c r="H203" s="243" t="s">
        <v>12</v>
      </c>
      <c r="I203" s="144"/>
      <c r="J203" s="144"/>
      <c r="K203" s="145"/>
      <c r="L203" s="140">
        <f ca="1">L204+L205+L206+L207</f>
        <v>31000</v>
      </c>
      <c r="M203" s="46"/>
      <c r="N203" s="140">
        <f>N204+N205+N206+N207</f>
        <v>700</v>
      </c>
      <c r="O203" s="140">
        <f ca="1">IF(L203&gt;0,N203*100/L203,0)</f>
        <v>2.2580645161290325</v>
      </c>
      <c r="P203" s="140">
        <f>IF(M203&gt;0,N203*100/M203,0)</f>
        <v>0</v>
      </c>
    </row>
    <row r="204" spans="1:16" ht="18.75" x14ac:dyDescent="0.25">
      <c r="A204" s="136"/>
      <c r="B204" s="228"/>
      <c r="C204" s="41"/>
      <c r="D204" s="253" t="s">
        <v>153</v>
      </c>
      <c r="E204" s="41"/>
      <c r="F204" s="41"/>
      <c r="G204" s="43"/>
      <c r="H204" s="143" t="s">
        <v>12</v>
      </c>
      <c r="I204" s="144"/>
      <c r="J204" s="144"/>
      <c r="K204" s="145"/>
      <c r="L204" s="47">
        <f ca="1">IFERROR(__xludf.DUMMYFUNCTION("IMPORTRANGE(""https://docs.google.com/spreadsheets/d/1eHaY18a8A9IcSdp1K8H6x8fbOy06t2VsZHhMHf-1x7Y/edit?usp=sharing"",""แผน!AG24"")"),2000)</f>
        <v>2000</v>
      </c>
      <c r="M204" s="46"/>
      <c r="N204" s="248">
        <v>700</v>
      </c>
      <c r="O204" s="145"/>
      <c r="P204" s="46"/>
    </row>
    <row r="205" spans="1:16" ht="18.75" x14ac:dyDescent="0.25">
      <c r="A205" s="227"/>
      <c r="B205" s="228"/>
      <c r="C205" s="41"/>
      <c r="D205" s="254" t="s">
        <v>81</v>
      </c>
      <c r="E205" s="41"/>
      <c r="F205" s="41"/>
      <c r="G205" s="43"/>
      <c r="H205" s="44" t="s">
        <v>12</v>
      </c>
      <c r="I205" s="45"/>
      <c r="J205" s="45"/>
      <c r="K205" s="46"/>
      <c r="L205" s="47">
        <f ca="1">IFERROR(__xludf.DUMMYFUNCTION("IMPORTRANGE(""https://docs.google.com/spreadsheets/d/1eHaY18a8A9IcSdp1K8H6x8fbOy06t2VsZHhMHf-1x7Y/edit?usp=sharing"",""แผน!AH24"")"),0)</f>
        <v>0</v>
      </c>
      <c r="M205" s="46"/>
      <c r="N205" s="248">
        <v>0</v>
      </c>
      <c r="O205" s="145"/>
      <c r="P205" s="46"/>
    </row>
    <row r="206" spans="1:16" ht="18.75" x14ac:dyDescent="0.25">
      <c r="A206" s="227"/>
      <c r="B206" s="228"/>
      <c r="C206" s="41"/>
      <c r="D206" s="254" t="s">
        <v>82</v>
      </c>
      <c r="E206" s="41"/>
      <c r="F206" s="41"/>
      <c r="G206" s="43"/>
      <c r="H206" s="44" t="s">
        <v>12</v>
      </c>
      <c r="I206" s="45"/>
      <c r="J206" s="45"/>
      <c r="K206" s="46"/>
      <c r="L206" s="47">
        <f ca="1">IFERROR(__xludf.DUMMYFUNCTION("IMPORTRANGE(""https://docs.google.com/spreadsheets/d/1eHaY18a8A9IcSdp1K8H6x8fbOy06t2VsZHhMHf-1x7Y/edit?usp=sharing"",""แผน!AI24"")"),16000)</f>
        <v>16000</v>
      </c>
      <c r="M206" s="46"/>
      <c r="N206" s="248">
        <v>0</v>
      </c>
      <c r="O206" s="145"/>
      <c r="P206" s="46"/>
    </row>
    <row r="207" spans="1:16" ht="18.75" x14ac:dyDescent="0.25">
      <c r="A207" s="227"/>
      <c r="B207" s="228"/>
      <c r="C207" s="41"/>
      <c r="D207" s="254" t="s">
        <v>83</v>
      </c>
      <c r="E207" s="41"/>
      <c r="F207" s="41"/>
      <c r="G207" s="43"/>
      <c r="H207" s="44" t="s">
        <v>12</v>
      </c>
      <c r="I207" s="45"/>
      <c r="J207" s="45"/>
      <c r="K207" s="46"/>
      <c r="L207" s="47">
        <f ca="1">IFERROR(__xludf.DUMMYFUNCTION("IMPORTRANGE(""https://docs.google.com/spreadsheets/d/1eHaY18a8A9IcSdp1K8H6x8fbOy06t2VsZHhMHf-1x7Y/edit?usp=sharing"",""แผน!AJ24"")"),13000)</f>
        <v>13000</v>
      </c>
      <c r="M207" s="46"/>
      <c r="N207" s="248">
        <v>0</v>
      </c>
      <c r="O207" s="145"/>
      <c r="P207" s="46"/>
    </row>
    <row r="208" spans="1:16" ht="19.5" x14ac:dyDescent="0.3">
      <c r="A208" s="148"/>
      <c r="B208" s="149"/>
      <c r="C208" s="197" t="s">
        <v>16</v>
      </c>
      <c r="D208" s="395" t="s">
        <v>36</v>
      </c>
      <c r="E208" s="151"/>
      <c r="F208" s="151"/>
      <c r="G208" s="152"/>
      <c r="H208" s="153"/>
      <c r="I208" s="144"/>
      <c r="J208" s="144"/>
      <c r="K208" s="145"/>
      <c r="L208" s="145"/>
      <c r="M208" s="145"/>
      <c r="N208" s="145"/>
      <c r="O208" s="145"/>
      <c r="P208" s="145"/>
    </row>
    <row r="209" spans="1:16" ht="18.75" x14ac:dyDescent="0.25">
      <c r="A209" s="148"/>
      <c r="B209" s="149"/>
      <c r="C209" s="149"/>
      <c r="D209" s="154" t="s">
        <v>84</v>
      </c>
      <c r="E209" s="155"/>
      <c r="F209" s="155"/>
      <c r="G209" s="153"/>
      <c r="H209" s="249" t="s">
        <v>79</v>
      </c>
      <c r="I209" s="169">
        <f ca="1">IFERROR(__xludf.DUMMYFUNCTION("IMPORTRANGE(""https://docs.google.com/spreadsheets/d/1eHaY18a8A9IcSdp1K8H6x8fbOy06t2VsZHhMHf-1x7Y/edit?usp=sharing"",""แผน!AK24"")"),2)</f>
        <v>2</v>
      </c>
      <c r="J209" s="250">
        <v>0</v>
      </c>
      <c r="K209" s="163">
        <f ca="1">IF(I209&gt;0,J209*100/I209,0)</f>
        <v>0</v>
      </c>
      <c r="L209" s="46"/>
      <c r="M209" s="46"/>
      <c r="N209" s="46"/>
      <c r="O209" s="46"/>
      <c r="P209" s="46"/>
    </row>
    <row r="210" spans="1:16" ht="18.75" x14ac:dyDescent="0.25">
      <c r="A210" s="148"/>
      <c r="B210" s="149"/>
      <c r="C210" s="149"/>
      <c r="D210" s="159" t="s">
        <v>48</v>
      </c>
      <c r="E210" s="155"/>
      <c r="F210" s="155"/>
      <c r="G210" s="153"/>
      <c r="H210" s="153"/>
      <c r="I210" s="45"/>
      <c r="J210" s="45"/>
      <c r="K210" s="145"/>
      <c r="L210" s="46"/>
      <c r="M210" s="46"/>
      <c r="N210" s="46"/>
      <c r="O210" s="46"/>
      <c r="P210" s="46"/>
    </row>
    <row r="211" spans="1:16" ht="18.75" x14ac:dyDescent="0.25">
      <c r="A211" s="148"/>
      <c r="B211" s="149"/>
      <c r="C211" s="149"/>
      <c r="D211" s="155"/>
      <c r="E211" s="159" t="s">
        <v>85</v>
      </c>
      <c r="F211" s="155"/>
      <c r="G211" s="153"/>
      <c r="H211" s="249" t="s">
        <v>79</v>
      </c>
      <c r="I211" s="169">
        <f ca="1">IFERROR(__xludf.DUMMYFUNCTION("IMPORTRANGE(""https://docs.google.com/spreadsheets/d/1eHaY18a8A9IcSdp1K8H6x8fbOy06t2VsZHhMHf-1x7Y/edit?usp=sharing"",""แผน!AK24"")"),2)</f>
        <v>2</v>
      </c>
      <c r="J211" s="250">
        <v>0</v>
      </c>
      <c r="K211" s="163">
        <f ca="1">IF(I211&gt;0,J211*100/I211,0)</f>
        <v>0</v>
      </c>
      <c r="L211" s="46"/>
      <c r="M211" s="46"/>
      <c r="N211" s="46"/>
      <c r="O211" s="46"/>
      <c r="P211" s="46"/>
    </row>
    <row r="212" spans="1:16" ht="18.75" x14ac:dyDescent="0.25">
      <c r="A212" s="148"/>
      <c r="B212" s="149"/>
      <c r="C212" s="149"/>
      <c r="D212" s="155"/>
      <c r="E212" s="159" t="s">
        <v>86</v>
      </c>
      <c r="F212" s="155"/>
      <c r="G212" s="155"/>
      <c r="H212" s="251" t="s">
        <v>87</v>
      </c>
      <c r="I212" s="169">
        <f ca="1">IFERROR(__xludf.DUMMYFUNCTION("IMPORTRANGE(""https://docs.google.com/spreadsheets/d/1eHaY18a8A9IcSdp1K8H6x8fbOy06t2VsZHhMHf-1x7Y/edit?usp=sharing"",""แผน!AK24"")"),2)</f>
        <v>2</v>
      </c>
      <c r="J212" s="250">
        <v>0</v>
      </c>
      <c r="K212" s="163">
        <f ca="1">IF(I212&gt;0,J212*100/I212,0)</f>
        <v>0</v>
      </c>
      <c r="L212" s="46"/>
      <c r="M212" s="46"/>
      <c r="N212" s="46"/>
      <c r="O212" s="46"/>
      <c r="P212" s="46"/>
    </row>
    <row r="213" spans="1:16" ht="19.5" hidden="1" x14ac:dyDescent="0.3">
      <c r="A213" s="233"/>
      <c r="B213" s="234"/>
      <c r="C213" s="235" t="s">
        <v>88</v>
      </c>
      <c r="D213" s="236"/>
      <c r="E213" s="236"/>
      <c r="F213" s="236"/>
      <c r="G213" s="237"/>
      <c r="H213" s="245" t="s">
        <v>79</v>
      </c>
      <c r="I213" s="239">
        <f ca="1">I220</f>
        <v>0</v>
      </c>
      <c r="J213" s="239">
        <f>J220</f>
        <v>0</v>
      </c>
      <c r="K213" s="240">
        <f ca="1">IF(I213&gt;0,J213*100/I213,0)</f>
        <v>0</v>
      </c>
      <c r="L213" s="241"/>
      <c r="M213" s="241"/>
      <c r="N213" s="241"/>
      <c r="O213" s="241"/>
      <c r="P213" s="241"/>
    </row>
    <row r="214" spans="1:16" ht="19.5" hidden="1" x14ac:dyDescent="0.3">
      <c r="A214" s="136"/>
      <c r="B214" s="41"/>
      <c r="C214" s="197" t="s">
        <v>16</v>
      </c>
      <c r="D214" s="400" t="s">
        <v>17</v>
      </c>
      <c r="E214" s="41"/>
      <c r="F214" s="41"/>
      <c r="G214" s="43"/>
      <c r="H214" s="243" t="s">
        <v>12</v>
      </c>
      <c r="I214" s="144"/>
      <c r="J214" s="144"/>
      <c r="K214" s="145"/>
      <c r="L214" s="140">
        <f ca="1">L215+L216+L217</f>
        <v>0</v>
      </c>
      <c r="M214" s="46"/>
      <c r="N214" s="140">
        <f>N215+N216+N217</f>
        <v>0</v>
      </c>
      <c r="O214" s="140">
        <f ca="1">IF(L214&gt;0,N214*100/L214,0)</f>
        <v>0</v>
      </c>
      <c r="P214" s="140">
        <f>IF(M214&gt;0,N214*100/M214,0)</f>
        <v>0</v>
      </c>
    </row>
    <row r="215" spans="1:16" ht="18.75" hidden="1" x14ac:dyDescent="0.25">
      <c r="A215" s="136"/>
      <c r="B215" s="228"/>
      <c r="C215" s="41"/>
      <c r="D215" s="254" t="s">
        <v>80</v>
      </c>
      <c r="E215" s="41"/>
      <c r="F215" s="41"/>
      <c r="G215" s="43"/>
      <c r="H215" s="143" t="s">
        <v>12</v>
      </c>
      <c r="I215" s="144"/>
      <c r="J215" s="144"/>
      <c r="K215" s="145"/>
      <c r="L215" s="47">
        <f ca="1">IFERROR(__xludf.DUMMYFUNCTION("IMPORTRANGE(""https://docs.google.com/spreadsheets/d/1eHaY18a8A9IcSdp1K8H6x8fbOy06t2VsZHhMHf-1x7Y/edit?usp=sharing"",""แผน!AM24"")"),0)</f>
        <v>0</v>
      </c>
      <c r="M215" s="46"/>
      <c r="N215" s="248">
        <v>0</v>
      </c>
      <c r="O215" s="145"/>
      <c r="P215" s="46"/>
    </row>
    <row r="216" spans="1:16" ht="18.75" hidden="1" x14ac:dyDescent="0.25">
      <c r="A216" s="227"/>
      <c r="B216" s="228"/>
      <c r="C216" s="228"/>
      <c r="D216" s="254" t="s">
        <v>89</v>
      </c>
      <c r="E216" s="41"/>
      <c r="F216" s="41"/>
      <c r="G216" s="43"/>
      <c r="H216" s="143" t="s">
        <v>12</v>
      </c>
      <c r="I216" s="45"/>
      <c r="J216" s="45"/>
      <c r="K216" s="46"/>
      <c r="L216" s="47">
        <f ca="1">IFERROR(__xludf.DUMMYFUNCTION("IMPORTRANGE(""https://docs.google.com/spreadsheets/d/1eHaY18a8A9IcSdp1K8H6x8fbOy06t2VsZHhMHf-1x7Y/edit?usp=sharing"",""แผน!AN24"")"),0)</f>
        <v>0</v>
      </c>
      <c r="M216" s="46"/>
      <c r="N216" s="248">
        <v>0</v>
      </c>
      <c r="O216" s="145"/>
      <c r="P216" s="46"/>
    </row>
    <row r="217" spans="1:16" ht="18.75" hidden="1" x14ac:dyDescent="0.25">
      <c r="A217" s="227"/>
      <c r="B217" s="228"/>
      <c r="C217" s="228"/>
      <c r="D217" s="254" t="s">
        <v>82</v>
      </c>
      <c r="E217" s="41"/>
      <c r="F217" s="41"/>
      <c r="G217" s="43"/>
      <c r="H217" s="143" t="s">
        <v>12</v>
      </c>
      <c r="I217" s="45"/>
      <c r="J217" s="45"/>
      <c r="K217" s="46"/>
      <c r="L217" s="47">
        <f ca="1">IFERROR(__xludf.DUMMYFUNCTION("IMPORTRANGE(""https://docs.google.com/spreadsheets/d/1eHaY18a8A9IcSdp1K8H6x8fbOy06t2VsZHhMHf-1x7Y/edit?usp=sharing"",""แผน!AO24"")"),0)</f>
        <v>0</v>
      </c>
      <c r="M217" s="46"/>
      <c r="N217" s="248">
        <v>0</v>
      </c>
      <c r="O217" s="145"/>
      <c r="P217" s="46"/>
    </row>
    <row r="218" spans="1:16" ht="19.5" hidden="1" x14ac:dyDescent="0.3">
      <c r="A218" s="148"/>
      <c r="B218" s="149"/>
      <c r="C218" s="252" t="s">
        <v>16</v>
      </c>
      <c r="D218" s="395" t="s">
        <v>36</v>
      </c>
      <c r="E218" s="151"/>
      <c r="F218" s="151"/>
      <c r="G218" s="152"/>
      <c r="H218" s="153"/>
      <c r="I218" s="144"/>
      <c r="J218" s="45"/>
      <c r="K218" s="46"/>
      <c r="L218" s="46"/>
      <c r="M218" s="46"/>
      <c r="N218" s="46"/>
      <c r="O218" s="145"/>
      <c r="P218" s="145"/>
    </row>
    <row r="219" spans="1:16" ht="18.75" hidden="1" x14ac:dyDescent="0.25">
      <c r="A219" s="148"/>
      <c r="B219" s="149"/>
      <c r="C219" s="149"/>
      <c r="D219" s="154" t="s">
        <v>90</v>
      </c>
      <c r="E219" s="155"/>
      <c r="F219" s="155"/>
      <c r="G219" s="153"/>
      <c r="H219" s="249" t="s">
        <v>79</v>
      </c>
      <c r="I219" s="169">
        <f ca="1">IFERROR(__xludf.DUMMYFUNCTION("IMPORTRANGE(""https://docs.google.com/spreadsheets/d/1eHaY18a8A9IcSdp1K8H6x8fbOy06t2VsZHhMHf-1x7Y/edit?usp=sharing"",""แผน!AP24"")"),0)</f>
        <v>0</v>
      </c>
      <c r="J219" s="250">
        <v>0</v>
      </c>
      <c r="K219" s="47">
        <f ca="1">IF(I219&gt;0,J219*100/I219,0)</f>
        <v>0</v>
      </c>
      <c r="L219" s="46"/>
      <c r="M219" s="46"/>
      <c r="N219" s="46"/>
      <c r="O219" s="46"/>
      <c r="P219" s="46"/>
    </row>
    <row r="220" spans="1:16" ht="18.75" hidden="1" x14ac:dyDescent="0.25">
      <c r="A220" s="148"/>
      <c r="B220" s="149"/>
      <c r="C220" s="149"/>
      <c r="D220" s="154" t="s">
        <v>91</v>
      </c>
      <c r="E220" s="155"/>
      <c r="F220" s="155"/>
      <c r="G220" s="153"/>
      <c r="H220" s="249" t="s">
        <v>79</v>
      </c>
      <c r="I220" s="169">
        <f ca="1">IFERROR(__xludf.DUMMYFUNCTION("IMPORTRANGE(""https://docs.google.com/spreadsheets/d/1eHaY18a8A9IcSdp1K8H6x8fbOy06t2VsZHhMHf-1x7Y/edit?usp=sharing"",""แผน!AP24"")"),0)</f>
        <v>0</v>
      </c>
      <c r="J220" s="250">
        <v>0</v>
      </c>
      <c r="K220" s="47">
        <f ca="1">IF(I220&gt;0,J220*100/I220,0)</f>
        <v>0</v>
      </c>
      <c r="L220" s="46"/>
      <c r="M220" s="46"/>
      <c r="N220" s="46"/>
      <c r="O220" s="46"/>
      <c r="P220" s="46"/>
    </row>
    <row r="221" spans="1:16" ht="19.5" x14ac:dyDescent="0.3">
      <c r="A221" s="233"/>
      <c r="B221" s="234"/>
      <c r="C221" s="235" t="s">
        <v>92</v>
      </c>
      <c r="D221" s="236"/>
      <c r="E221" s="236"/>
      <c r="F221" s="236"/>
      <c r="G221" s="237"/>
      <c r="H221" s="238" t="s">
        <v>93</v>
      </c>
      <c r="I221" s="239">
        <f ca="1">I229</f>
        <v>100000</v>
      </c>
      <c r="J221" s="239">
        <f>J229</f>
        <v>0</v>
      </c>
      <c r="K221" s="240">
        <f ca="1">IF(I221&gt;0,J221*100/I221,0)</f>
        <v>0</v>
      </c>
      <c r="L221" s="241"/>
      <c r="M221" s="241"/>
      <c r="N221" s="241"/>
      <c r="O221" s="241"/>
      <c r="P221" s="241"/>
    </row>
    <row r="222" spans="1:16" ht="19.5" x14ac:dyDescent="0.3">
      <c r="A222" s="136"/>
      <c r="B222" s="41"/>
      <c r="C222" s="197" t="s">
        <v>16</v>
      </c>
      <c r="D222" s="400" t="s">
        <v>17</v>
      </c>
      <c r="E222" s="41"/>
      <c r="F222" s="41"/>
      <c r="G222" s="43"/>
      <c r="H222" s="243" t="s">
        <v>12</v>
      </c>
      <c r="I222" s="144"/>
      <c r="J222" s="144"/>
      <c r="K222" s="145"/>
      <c r="L222" s="140">
        <f ca="1">L223+L224+L225</f>
        <v>12500</v>
      </c>
      <c r="M222" s="46"/>
      <c r="N222" s="140">
        <f>N223+N224+N225</f>
        <v>0</v>
      </c>
      <c r="O222" s="140">
        <f ca="1">IF(L222&gt;0,N222*100/L222,0)</f>
        <v>0</v>
      </c>
      <c r="P222" s="140">
        <f>IF(M222&gt;0,N222*100/M222,0)</f>
        <v>0</v>
      </c>
    </row>
    <row r="223" spans="1:16" ht="18.75" x14ac:dyDescent="0.25">
      <c r="A223" s="136"/>
      <c r="B223" s="228"/>
      <c r="C223" s="41"/>
      <c r="D223" s="253" t="s">
        <v>94</v>
      </c>
      <c r="E223" s="41"/>
      <c r="F223" s="41"/>
      <c r="G223" s="43"/>
      <c r="H223" s="143" t="s">
        <v>12</v>
      </c>
      <c r="I223" s="144"/>
      <c r="J223" s="144"/>
      <c r="K223" s="145"/>
      <c r="L223" s="47">
        <f ca="1">IFERROR(__xludf.DUMMYFUNCTION("IMPORTRANGE(""https://docs.google.com/spreadsheets/d/1eHaY18a8A9IcSdp1K8H6x8fbOy06t2VsZHhMHf-1x7Y/edit?usp=sharing"",""แผน!AR24"")"),11000)</f>
        <v>11000</v>
      </c>
      <c r="M223" s="46"/>
      <c r="N223" s="248">
        <v>0</v>
      </c>
      <c r="O223" s="145"/>
      <c r="P223" s="46"/>
    </row>
    <row r="224" spans="1:16" ht="18.75" x14ac:dyDescent="0.25">
      <c r="A224" s="227"/>
      <c r="B224" s="228"/>
      <c r="C224" s="228"/>
      <c r="D224" s="254" t="s">
        <v>95</v>
      </c>
      <c r="E224" s="41"/>
      <c r="F224" s="41"/>
      <c r="G224" s="43"/>
      <c r="H224" s="143" t="s">
        <v>12</v>
      </c>
      <c r="I224" s="45"/>
      <c r="J224" s="45"/>
      <c r="K224" s="46"/>
      <c r="L224" s="47">
        <f ca="1">IFERROR(__xludf.DUMMYFUNCTION("IMPORTRANGE(""https://docs.google.com/spreadsheets/d/1eHaY18a8A9IcSdp1K8H6x8fbOy06t2VsZHhMHf-1x7Y/edit?usp=sharing"",""แผน!AS24"")"),1500)</f>
        <v>1500</v>
      </c>
      <c r="M224" s="46"/>
      <c r="N224" s="248">
        <v>0</v>
      </c>
      <c r="O224" s="145"/>
      <c r="P224" s="46"/>
    </row>
    <row r="225" spans="1:16" ht="18.75" x14ac:dyDescent="0.25">
      <c r="A225" s="227"/>
      <c r="B225" s="228"/>
      <c r="C225" s="228"/>
      <c r="D225" s="254" t="s">
        <v>82</v>
      </c>
      <c r="E225" s="41"/>
      <c r="F225" s="41"/>
      <c r="G225" s="43"/>
      <c r="H225" s="143" t="s">
        <v>12</v>
      </c>
      <c r="I225" s="45"/>
      <c r="J225" s="45"/>
      <c r="K225" s="46"/>
      <c r="L225" s="47">
        <f ca="1">IFERROR(__xludf.DUMMYFUNCTION("IMPORTRANGE(""https://docs.google.com/spreadsheets/d/1eHaY18a8A9IcSdp1K8H6x8fbOy06t2VsZHhMHf-1x7Y/edit?usp=sharing"",""แผน!AT24"")"),0)</f>
        <v>0</v>
      </c>
      <c r="M225" s="46"/>
      <c r="N225" s="248">
        <v>0</v>
      </c>
      <c r="O225" s="145"/>
      <c r="P225" s="46"/>
    </row>
    <row r="226" spans="1:16" ht="19.5" x14ac:dyDescent="0.3">
      <c r="A226" s="148"/>
      <c r="B226" s="149"/>
      <c r="C226" s="252" t="s">
        <v>16</v>
      </c>
      <c r="D226" s="395" t="s">
        <v>36</v>
      </c>
      <c r="E226" s="151"/>
      <c r="F226" s="151"/>
      <c r="G226" s="152"/>
      <c r="H226" s="153"/>
      <c r="I226" s="144"/>
      <c r="J226" s="144"/>
      <c r="K226" s="145"/>
      <c r="L226" s="145"/>
      <c r="M226" s="145"/>
      <c r="N226" s="145"/>
      <c r="O226" s="145"/>
      <c r="P226" s="145"/>
    </row>
    <row r="227" spans="1:16" ht="18.75" x14ac:dyDescent="0.25">
      <c r="A227" s="148"/>
      <c r="B227" s="149"/>
      <c r="C227" s="149"/>
      <c r="D227" s="254" t="s">
        <v>96</v>
      </c>
      <c r="E227" s="155"/>
      <c r="F227" s="155"/>
      <c r="G227" s="153"/>
      <c r="H227" s="153"/>
      <c r="I227" s="45"/>
      <c r="J227" s="45"/>
      <c r="K227" s="145"/>
      <c r="L227" s="145"/>
      <c r="M227" s="145"/>
      <c r="N227" s="145"/>
      <c r="O227" s="145"/>
      <c r="P227" s="145"/>
    </row>
    <row r="228" spans="1:16" ht="18.75" x14ac:dyDescent="0.25">
      <c r="A228" s="148"/>
      <c r="B228" s="149"/>
      <c r="C228" s="149"/>
      <c r="D228" s="149"/>
      <c r="E228" s="154" t="s">
        <v>97</v>
      </c>
      <c r="F228" s="155"/>
      <c r="G228" s="153"/>
      <c r="H228" s="251" t="s">
        <v>93</v>
      </c>
      <c r="I228" s="169">
        <f ca="1">IFERROR(__xludf.DUMMYFUNCTION("IMPORTRANGE(""https://docs.google.com/spreadsheets/d/1eHaY18a8A9IcSdp1K8H6x8fbOy06t2VsZHhMHf-1x7Y/edit?usp=sharing"",""แผน!AV24"")"),100000)</f>
        <v>100000</v>
      </c>
      <c r="J228" s="250">
        <v>0</v>
      </c>
      <c r="K228" s="163">
        <f ca="1">IF(I228&gt;0,J228*100/I228,0)</f>
        <v>0</v>
      </c>
      <c r="L228" s="145"/>
      <c r="M228" s="145"/>
      <c r="N228" s="145"/>
      <c r="O228" s="145"/>
      <c r="P228" s="145"/>
    </row>
    <row r="229" spans="1:16" ht="18.75" x14ac:dyDescent="0.25">
      <c r="A229" s="148"/>
      <c r="B229" s="149"/>
      <c r="C229" s="149"/>
      <c r="D229" s="149"/>
      <c r="E229" s="154" t="s">
        <v>98</v>
      </c>
      <c r="F229" s="155"/>
      <c r="G229" s="153"/>
      <c r="H229" s="251" t="s">
        <v>93</v>
      </c>
      <c r="I229" s="169">
        <f ca="1">IFERROR(__xludf.DUMMYFUNCTION("IMPORTRANGE(""https://docs.google.com/spreadsheets/d/1eHaY18a8A9IcSdp1K8H6x8fbOy06t2VsZHhMHf-1x7Y/edit?usp=sharing"",""แผน!AV24"")"),100000)</f>
        <v>100000</v>
      </c>
      <c r="J229" s="250">
        <v>0</v>
      </c>
      <c r="K229" s="163">
        <f ca="1">IF(I229&gt;0,J229*100/I229,0)</f>
        <v>0</v>
      </c>
      <c r="L229" s="46"/>
      <c r="M229" s="46"/>
      <c r="N229" s="46"/>
      <c r="O229" s="46"/>
      <c r="P229" s="46"/>
    </row>
    <row r="230" spans="1:16" ht="18.75" x14ac:dyDescent="0.25">
      <c r="A230" s="148"/>
      <c r="B230" s="149"/>
      <c r="C230" s="149"/>
      <c r="D230" s="254" t="s">
        <v>99</v>
      </c>
      <c r="E230" s="155"/>
      <c r="F230" s="155"/>
      <c r="G230" s="153"/>
      <c r="H230" s="251" t="s">
        <v>33</v>
      </c>
      <c r="I230" s="169">
        <f ca="1">IFERROR(__xludf.DUMMYFUNCTION("IMPORTRANGE(""https://docs.google.com/spreadsheets/d/1eHaY18a8A9IcSdp1K8H6x8fbOy06t2VsZHhMHf-1x7Y/edit?usp=sharing"",""แผน!AU24"")"),0)</f>
        <v>0</v>
      </c>
      <c r="J230" s="250">
        <v>0</v>
      </c>
      <c r="K230" s="163">
        <f ca="1">IF(I230&gt;0,J230*100/I230,0)</f>
        <v>0</v>
      </c>
      <c r="L230" s="46"/>
      <c r="M230" s="46"/>
      <c r="N230" s="46"/>
      <c r="O230" s="46"/>
      <c r="P230" s="46"/>
    </row>
    <row r="231" spans="1:16" ht="19.5" hidden="1" x14ac:dyDescent="0.3">
      <c r="A231" s="233"/>
      <c r="B231" s="234"/>
      <c r="C231" s="235" t="s">
        <v>100</v>
      </c>
      <c r="D231" s="236"/>
      <c r="E231" s="236"/>
      <c r="F231" s="236"/>
      <c r="G231" s="237"/>
      <c r="H231" s="238" t="s">
        <v>33</v>
      </c>
      <c r="I231" s="239">
        <f ca="1">I242+I253</f>
        <v>0</v>
      </c>
      <c r="J231" s="239">
        <f>J242+J253</f>
        <v>0</v>
      </c>
      <c r="K231" s="240">
        <f ca="1">IF(I231&gt;0,J231*100/I231,0)</f>
        <v>0</v>
      </c>
      <c r="L231" s="241"/>
      <c r="M231" s="241"/>
      <c r="N231" s="241"/>
      <c r="O231" s="241"/>
      <c r="P231" s="241"/>
    </row>
    <row r="232" spans="1:16" ht="19.5" hidden="1" x14ac:dyDescent="0.3">
      <c r="A232" s="136"/>
      <c r="B232" s="41"/>
      <c r="C232" s="197" t="s">
        <v>16</v>
      </c>
      <c r="D232" s="397" t="s">
        <v>17</v>
      </c>
      <c r="E232" s="41"/>
      <c r="F232" s="41"/>
      <c r="G232" s="43"/>
      <c r="H232" s="243" t="s">
        <v>12</v>
      </c>
      <c r="I232" s="144"/>
      <c r="J232" s="144"/>
      <c r="K232" s="145"/>
      <c r="L232" s="140">
        <f ca="1">L243+L254</f>
        <v>0</v>
      </c>
      <c r="M232" s="46"/>
      <c r="N232" s="140">
        <f>N243+N254</f>
        <v>0</v>
      </c>
      <c r="O232" s="46"/>
      <c r="P232" s="46"/>
    </row>
    <row r="233" spans="1:16" ht="18.75" hidden="1" x14ac:dyDescent="0.25">
      <c r="A233" s="136"/>
      <c r="B233" s="228"/>
      <c r="C233" s="41"/>
      <c r="D233" s="254" t="s">
        <v>80</v>
      </c>
      <c r="E233" s="41"/>
      <c r="F233" s="41"/>
      <c r="G233" s="43"/>
      <c r="H233" s="143" t="s">
        <v>12</v>
      </c>
      <c r="I233" s="144"/>
      <c r="J233" s="144"/>
      <c r="K233" s="145"/>
      <c r="L233" s="47">
        <f ca="1">L244+L255</f>
        <v>0</v>
      </c>
      <c r="M233" s="46"/>
      <c r="N233" s="47">
        <f>N244+N255</f>
        <v>0</v>
      </c>
      <c r="O233" s="46"/>
      <c r="P233" s="46"/>
    </row>
    <row r="234" spans="1:16" ht="18.75" hidden="1" x14ac:dyDescent="0.25">
      <c r="A234" s="227"/>
      <c r="B234" s="228"/>
      <c r="C234" s="228"/>
      <c r="D234" s="254" t="s">
        <v>82</v>
      </c>
      <c r="E234" s="41"/>
      <c r="F234" s="41"/>
      <c r="G234" s="43"/>
      <c r="H234" s="143" t="s">
        <v>12</v>
      </c>
      <c r="I234" s="45"/>
      <c r="J234" s="45"/>
      <c r="K234" s="46"/>
      <c r="L234" s="47">
        <f ca="1">L245+L256</f>
        <v>0</v>
      </c>
      <c r="M234" s="46"/>
      <c r="N234" s="47">
        <f>N245+N256</f>
        <v>0</v>
      </c>
      <c r="O234" s="46"/>
      <c r="P234" s="46"/>
    </row>
    <row r="235" spans="1:16" ht="18.75" hidden="1" x14ac:dyDescent="0.25">
      <c r="A235" s="227"/>
      <c r="B235" s="228"/>
      <c r="C235" s="228"/>
      <c r="D235" s="254" t="s">
        <v>101</v>
      </c>
      <c r="E235" s="41"/>
      <c r="F235" s="41"/>
      <c r="G235" s="43"/>
      <c r="H235" s="143" t="s">
        <v>12</v>
      </c>
      <c r="I235" s="45"/>
      <c r="J235" s="45"/>
      <c r="K235" s="46"/>
      <c r="L235" s="47">
        <f ca="1">L246+L257</f>
        <v>0</v>
      </c>
      <c r="M235" s="46"/>
      <c r="N235" s="47">
        <f>N246+N257</f>
        <v>0</v>
      </c>
      <c r="O235" s="46"/>
      <c r="P235" s="46"/>
    </row>
    <row r="236" spans="1:16" ht="18.75" hidden="1" x14ac:dyDescent="0.25">
      <c r="A236" s="227"/>
      <c r="B236" s="228"/>
      <c r="C236" s="228"/>
      <c r="D236" s="254" t="s">
        <v>102</v>
      </c>
      <c r="E236" s="41"/>
      <c r="F236" s="41"/>
      <c r="G236" s="43"/>
      <c r="H236" s="143" t="s">
        <v>12</v>
      </c>
      <c r="I236" s="45"/>
      <c r="J236" s="45"/>
      <c r="K236" s="46"/>
      <c r="L236" s="47">
        <f ca="1">L247+L258</f>
        <v>0</v>
      </c>
      <c r="M236" s="46"/>
      <c r="N236" s="47">
        <f>N247+N258</f>
        <v>0</v>
      </c>
      <c r="O236" s="46"/>
      <c r="P236" s="46"/>
    </row>
    <row r="237" spans="1:16" ht="19.5" hidden="1" x14ac:dyDescent="0.3">
      <c r="A237" s="148"/>
      <c r="B237" s="149"/>
      <c r="C237" s="252" t="s">
        <v>16</v>
      </c>
      <c r="D237" s="395" t="s">
        <v>36</v>
      </c>
      <c r="E237" s="151"/>
      <c r="F237" s="151"/>
      <c r="G237" s="152"/>
      <c r="H237" s="153"/>
      <c r="I237" s="144"/>
      <c r="J237" s="45"/>
      <c r="K237" s="46"/>
      <c r="L237" s="46"/>
      <c r="M237" s="46"/>
      <c r="N237" s="46"/>
      <c r="O237" s="145"/>
      <c r="P237" s="145"/>
    </row>
    <row r="238" spans="1:16" ht="18.75" hidden="1" x14ac:dyDescent="0.25">
      <c r="A238" s="148"/>
      <c r="B238" s="149"/>
      <c r="C238" s="149"/>
      <c r="D238" s="159" t="s">
        <v>103</v>
      </c>
      <c r="E238" s="155"/>
      <c r="F238" s="155"/>
      <c r="G238" s="153"/>
      <c r="H238" s="251" t="s">
        <v>33</v>
      </c>
      <c r="I238" s="169">
        <f ca="1">I249+I260</f>
        <v>0</v>
      </c>
      <c r="J238" s="169">
        <f>J249+J260</f>
        <v>0</v>
      </c>
      <c r="K238" s="47">
        <f ca="1">IF(I238&gt;0,J238*100/I238,0)</f>
        <v>0</v>
      </c>
      <c r="L238" s="46"/>
      <c r="M238" s="46"/>
      <c r="N238" s="46"/>
      <c r="O238" s="46"/>
      <c r="P238" s="46"/>
    </row>
    <row r="239" spans="1:16" ht="18.75" hidden="1" x14ac:dyDescent="0.25">
      <c r="A239" s="148"/>
      <c r="B239" s="149"/>
      <c r="C239" s="149"/>
      <c r="D239" s="255" t="s">
        <v>41</v>
      </c>
      <c r="E239" s="155"/>
      <c r="F239" s="155"/>
      <c r="G239" s="153"/>
      <c r="H239" s="153"/>
      <c r="I239" s="45"/>
      <c r="J239" s="45"/>
      <c r="K239" s="46"/>
      <c r="L239" s="46"/>
      <c r="M239" s="46"/>
      <c r="N239" s="46"/>
      <c r="O239" s="145"/>
      <c r="P239" s="145"/>
    </row>
    <row r="240" spans="1:16" ht="18.75" hidden="1" x14ac:dyDescent="0.25">
      <c r="A240" s="148"/>
      <c r="B240" s="149"/>
      <c r="C240" s="149"/>
      <c r="D240" s="149"/>
      <c r="E240" s="154" t="s">
        <v>104</v>
      </c>
      <c r="F240" s="155"/>
      <c r="G240" s="153"/>
      <c r="H240" s="251" t="s">
        <v>33</v>
      </c>
      <c r="I240" s="169">
        <f>I251+I262</f>
        <v>0</v>
      </c>
      <c r="J240" s="169">
        <f>J251+J262</f>
        <v>0</v>
      </c>
      <c r="K240" s="47">
        <f>IF(I240&gt;0,J240*100/I240,0)</f>
        <v>0</v>
      </c>
      <c r="L240" s="46"/>
      <c r="M240" s="46"/>
      <c r="N240" s="46"/>
      <c r="O240" s="46"/>
      <c r="P240" s="46"/>
    </row>
    <row r="241" spans="1:16" ht="18.75" hidden="1" x14ac:dyDescent="0.25">
      <c r="A241" s="148"/>
      <c r="B241" s="149"/>
      <c r="C241" s="149"/>
      <c r="D241" s="149"/>
      <c r="E241" s="154" t="s">
        <v>105</v>
      </c>
      <c r="F241" s="155"/>
      <c r="G241" s="153"/>
      <c r="H241" s="251" t="s">
        <v>54</v>
      </c>
      <c r="I241" s="169">
        <f>I252+I263</f>
        <v>0</v>
      </c>
      <c r="J241" s="169">
        <f>J252+J263</f>
        <v>0</v>
      </c>
      <c r="K241" s="47">
        <f>IF(I241&gt;0,J241*100/I241,0)</f>
        <v>0</v>
      </c>
      <c r="L241" s="46"/>
      <c r="M241" s="46"/>
      <c r="N241" s="46"/>
      <c r="O241" s="46"/>
      <c r="P241" s="46"/>
    </row>
    <row r="242" spans="1:16" ht="19.5" hidden="1" x14ac:dyDescent="0.3">
      <c r="A242" s="233"/>
      <c r="B242" s="234"/>
      <c r="C242" s="256" t="s">
        <v>106</v>
      </c>
      <c r="D242" s="236"/>
      <c r="E242" s="236"/>
      <c r="F242" s="236"/>
      <c r="G242" s="237"/>
      <c r="H242" s="257" t="s">
        <v>33</v>
      </c>
      <c r="I242" s="258">
        <f ca="1">I249</f>
        <v>0</v>
      </c>
      <c r="J242" s="258">
        <f>J249</f>
        <v>0</v>
      </c>
      <c r="K242" s="259">
        <f ca="1">IF(I242&gt;0,J242*100/I242,0)</f>
        <v>0</v>
      </c>
      <c r="L242" s="241"/>
      <c r="M242" s="241"/>
      <c r="N242" s="241"/>
      <c r="O242" s="241"/>
      <c r="P242" s="241"/>
    </row>
    <row r="243" spans="1:16" ht="19.5" hidden="1" x14ac:dyDescent="0.3">
      <c r="A243" s="136"/>
      <c r="B243" s="41"/>
      <c r="C243" s="260" t="s">
        <v>16</v>
      </c>
      <c r="D243" s="261" t="s">
        <v>17</v>
      </c>
      <c r="E243" s="41"/>
      <c r="F243" s="41"/>
      <c r="G243" s="43"/>
      <c r="H243" s="262" t="s">
        <v>12</v>
      </c>
      <c r="I243" s="144"/>
      <c r="J243" s="144"/>
      <c r="K243" s="145"/>
      <c r="L243" s="263">
        <f ca="1">L244+L245+L246+L247</f>
        <v>0</v>
      </c>
      <c r="M243" s="46"/>
      <c r="N243" s="263">
        <f>N244+N245+N246+N247</f>
        <v>0</v>
      </c>
      <c r="O243" s="263">
        <f ca="1">IF(L243&gt;0,N243*100/L243,0)</f>
        <v>0</v>
      </c>
      <c r="P243" s="263">
        <f>IF(M243&gt;0,N243*100/M243,0)</f>
        <v>0</v>
      </c>
    </row>
    <row r="244" spans="1:16" ht="18.75" hidden="1" x14ac:dyDescent="0.25">
      <c r="A244" s="136"/>
      <c r="B244" s="228"/>
      <c r="C244" s="41"/>
      <c r="D244" s="279" t="s">
        <v>80</v>
      </c>
      <c r="E244" s="41"/>
      <c r="F244" s="41"/>
      <c r="G244" s="43"/>
      <c r="H244" s="146" t="s">
        <v>12</v>
      </c>
      <c r="I244" s="144"/>
      <c r="J244" s="144"/>
      <c r="K244" s="145"/>
      <c r="L244" s="50">
        <f ca="1">IFERROR(__xludf.DUMMYFUNCTION("IMPORTRANGE(""https://docs.google.com/spreadsheets/d/1eHaY18a8A9IcSdp1K8H6x8fbOy06t2VsZHhMHf-1x7Y/edit?usp=sharing"",""แผน!AX24"")"),0)</f>
        <v>0</v>
      </c>
      <c r="M244" s="46"/>
      <c r="N244" s="264">
        <v>0</v>
      </c>
      <c r="O244" s="46"/>
      <c r="P244" s="46"/>
    </row>
    <row r="245" spans="1:16" ht="18.75" hidden="1" x14ac:dyDescent="0.25">
      <c r="A245" s="227"/>
      <c r="B245" s="228"/>
      <c r="C245" s="228"/>
      <c r="D245" s="279" t="s">
        <v>82</v>
      </c>
      <c r="E245" s="41"/>
      <c r="F245" s="41"/>
      <c r="G245" s="43"/>
      <c r="H245" s="146" t="s">
        <v>12</v>
      </c>
      <c r="I245" s="45"/>
      <c r="J245" s="45"/>
      <c r="K245" s="46"/>
      <c r="L245" s="50">
        <f ca="1">IFERROR(__xludf.DUMMYFUNCTION("IMPORTRANGE(""https://docs.google.com/spreadsheets/d/1eHaY18a8A9IcSdp1K8H6x8fbOy06t2VsZHhMHf-1x7Y/edit?usp=sharing"",""แผน!AY24"")"),0)</f>
        <v>0</v>
      </c>
      <c r="M245" s="46"/>
      <c r="N245" s="264">
        <v>0</v>
      </c>
      <c r="O245" s="46"/>
      <c r="P245" s="46"/>
    </row>
    <row r="246" spans="1:16" ht="18.75" hidden="1" x14ac:dyDescent="0.25">
      <c r="A246" s="227"/>
      <c r="B246" s="228"/>
      <c r="C246" s="228"/>
      <c r="D246" s="279" t="s">
        <v>101</v>
      </c>
      <c r="E246" s="41"/>
      <c r="F246" s="41"/>
      <c r="G246" s="43"/>
      <c r="H246" s="146" t="s">
        <v>12</v>
      </c>
      <c r="I246" s="45"/>
      <c r="J246" s="45"/>
      <c r="K246" s="46"/>
      <c r="L246" s="50">
        <f ca="1">IFERROR(__xludf.DUMMYFUNCTION("IMPORTRANGE(""https://docs.google.com/spreadsheets/d/1eHaY18a8A9IcSdp1K8H6x8fbOy06t2VsZHhMHf-1x7Y/edit?usp=sharing"",""แผน!AZ24"")"),0)</f>
        <v>0</v>
      </c>
      <c r="M246" s="46"/>
      <c r="N246" s="264">
        <v>0</v>
      </c>
      <c r="O246" s="46"/>
      <c r="P246" s="46"/>
    </row>
    <row r="247" spans="1:16" ht="18.75" hidden="1" x14ac:dyDescent="0.25">
      <c r="A247" s="227"/>
      <c r="B247" s="228"/>
      <c r="C247" s="228"/>
      <c r="D247" s="279" t="s">
        <v>102</v>
      </c>
      <c r="E247" s="41"/>
      <c r="F247" s="41"/>
      <c r="G247" s="43"/>
      <c r="H247" s="146" t="s">
        <v>12</v>
      </c>
      <c r="I247" s="45"/>
      <c r="J247" s="45"/>
      <c r="K247" s="46"/>
      <c r="L247" s="50">
        <f ca="1">IFERROR(__xludf.DUMMYFUNCTION("IMPORTRANGE(""https://docs.google.com/spreadsheets/d/1eHaY18a8A9IcSdp1K8H6x8fbOy06t2VsZHhMHf-1x7Y/edit?usp=sharing"",""แผน!BA24"")"),0)</f>
        <v>0</v>
      </c>
      <c r="M247" s="46"/>
      <c r="N247" s="264">
        <v>0</v>
      </c>
      <c r="O247" s="46"/>
      <c r="P247" s="46"/>
    </row>
    <row r="248" spans="1:16" ht="19.5" hidden="1" x14ac:dyDescent="0.3">
      <c r="A248" s="148"/>
      <c r="B248" s="149"/>
      <c r="C248" s="265" t="s">
        <v>16</v>
      </c>
      <c r="D248" s="394" t="s">
        <v>36</v>
      </c>
      <c r="E248" s="151"/>
      <c r="F248" s="151"/>
      <c r="G248" s="152"/>
      <c r="H248" s="153"/>
      <c r="I248" s="144"/>
      <c r="J248" s="45"/>
      <c r="K248" s="46"/>
      <c r="L248" s="46"/>
      <c r="M248" s="46"/>
      <c r="N248" s="46"/>
      <c r="O248" s="145"/>
      <c r="P248" s="145"/>
    </row>
    <row r="249" spans="1:16" ht="18.75" hidden="1" x14ac:dyDescent="0.25">
      <c r="A249" s="148"/>
      <c r="B249" s="149"/>
      <c r="C249" s="149"/>
      <c r="D249" s="267" t="s">
        <v>103</v>
      </c>
      <c r="E249" s="155"/>
      <c r="F249" s="155"/>
      <c r="G249" s="153"/>
      <c r="H249" s="268" t="s">
        <v>33</v>
      </c>
      <c r="I249" s="200">
        <f ca="1">IFERROR(__xludf.DUMMYFUNCTION("IMPORTRANGE(""https://docs.google.com/spreadsheets/d/1eHaY18a8A9IcSdp1K8H6x8fbOy06t2VsZHhMHf-1x7Y/edit?usp=sharing"",""แผน!BG24"")"),0)</f>
        <v>0</v>
      </c>
      <c r="J249" s="201">
        <v>0</v>
      </c>
      <c r="K249" s="50">
        <f ca="1">IF(I249&gt;0,J249*100/I249,0)</f>
        <v>0</v>
      </c>
      <c r="L249" s="46"/>
      <c r="M249" s="46"/>
      <c r="N249" s="46"/>
      <c r="O249" s="46"/>
      <c r="P249" s="46"/>
    </row>
    <row r="250" spans="1:16" ht="18.75" hidden="1" x14ac:dyDescent="0.25">
      <c r="A250" s="148"/>
      <c r="B250" s="149"/>
      <c r="C250" s="149"/>
      <c r="D250" s="269" t="s">
        <v>41</v>
      </c>
      <c r="E250" s="155"/>
      <c r="F250" s="155"/>
      <c r="G250" s="153"/>
      <c r="H250" s="153"/>
      <c r="I250" s="45"/>
      <c r="J250" s="45"/>
      <c r="K250" s="46"/>
      <c r="L250" s="46"/>
      <c r="M250" s="46"/>
      <c r="N250" s="46"/>
      <c r="O250" s="145"/>
      <c r="P250" s="145"/>
    </row>
    <row r="251" spans="1:16" ht="18.75" hidden="1" x14ac:dyDescent="0.25">
      <c r="A251" s="148"/>
      <c r="B251" s="149"/>
      <c r="C251" s="149"/>
      <c r="D251" s="149"/>
      <c r="E251" s="270" t="s">
        <v>104</v>
      </c>
      <c r="F251" s="155"/>
      <c r="G251" s="153"/>
      <c r="H251" s="268" t="s">
        <v>33</v>
      </c>
      <c r="I251" s="200">
        <v>0</v>
      </c>
      <c r="J251" s="201">
        <v>0</v>
      </c>
      <c r="K251" s="50">
        <f>IF(I251&gt;0,J251*100/I251,0)</f>
        <v>0</v>
      </c>
      <c r="L251" s="46"/>
      <c r="M251" s="46"/>
      <c r="N251" s="46"/>
      <c r="O251" s="46"/>
      <c r="P251" s="46"/>
    </row>
    <row r="252" spans="1:16" ht="18.75" hidden="1" x14ac:dyDescent="0.25">
      <c r="A252" s="148"/>
      <c r="B252" s="149"/>
      <c r="C252" s="149"/>
      <c r="D252" s="149"/>
      <c r="E252" s="270" t="s">
        <v>105</v>
      </c>
      <c r="F252" s="155"/>
      <c r="G252" s="153"/>
      <c r="H252" s="268" t="s">
        <v>54</v>
      </c>
      <c r="I252" s="200">
        <v>0</v>
      </c>
      <c r="J252" s="201">
        <v>0</v>
      </c>
      <c r="K252" s="50">
        <f>IF(I252&gt;0,J252*100/I252,0)</f>
        <v>0</v>
      </c>
      <c r="L252" s="46"/>
      <c r="M252" s="46"/>
      <c r="N252" s="46"/>
      <c r="O252" s="46"/>
      <c r="P252" s="46"/>
    </row>
    <row r="253" spans="1:16" ht="19.5" hidden="1" x14ac:dyDescent="0.3">
      <c r="A253" s="233"/>
      <c r="B253" s="234"/>
      <c r="C253" s="256" t="s">
        <v>107</v>
      </c>
      <c r="D253" s="236"/>
      <c r="E253" s="236"/>
      <c r="F253" s="236"/>
      <c r="G253" s="237"/>
      <c r="H253" s="257" t="s">
        <v>33</v>
      </c>
      <c r="I253" s="258">
        <f ca="1">I260</f>
        <v>0</v>
      </c>
      <c r="J253" s="258">
        <f>J260</f>
        <v>0</v>
      </c>
      <c r="K253" s="259">
        <f ca="1">IF(I253&gt;0,J253*100/I253,0)</f>
        <v>0</v>
      </c>
      <c r="L253" s="241"/>
      <c r="M253" s="241"/>
      <c r="N253" s="241"/>
      <c r="O253" s="241"/>
      <c r="P253" s="241"/>
    </row>
    <row r="254" spans="1:16" ht="19.5" hidden="1" x14ac:dyDescent="0.3">
      <c r="A254" s="136"/>
      <c r="B254" s="41"/>
      <c r="C254" s="260" t="s">
        <v>16</v>
      </c>
      <c r="D254" s="399" t="s">
        <v>17</v>
      </c>
      <c r="E254" s="41"/>
      <c r="F254" s="41"/>
      <c r="G254" s="43"/>
      <c r="H254" s="262" t="s">
        <v>12</v>
      </c>
      <c r="I254" s="144"/>
      <c r="J254" s="144"/>
      <c r="K254" s="145"/>
      <c r="L254" s="263">
        <f ca="1">L255+L256+L257+L258</f>
        <v>0</v>
      </c>
      <c r="M254" s="46"/>
      <c r="N254" s="263">
        <f>N255+N256+N257+N258</f>
        <v>0</v>
      </c>
      <c r="O254" s="263">
        <f ca="1">IF(L254&gt;0,N254*100/L254,0)</f>
        <v>0</v>
      </c>
      <c r="P254" s="263">
        <f>IF(M254&gt;0,N254*100/M254,0)</f>
        <v>0</v>
      </c>
    </row>
    <row r="255" spans="1:16" ht="18.75" hidden="1" x14ac:dyDescent="0.25">
      <c r="A255" s="136"/>
      <c r="B255" s="228"/>
      <c r="C255" s="41"/>
      <c r="D255" s="279" t="s">
        <v>80</v>
      </c>
      <c r="E255" s="41"/>
      <c r="F255" s="41"/>
      <c r="G255" s="43"/>
      <c r="H255" s="146" t="s">
        <v>12</v>
      </c>
      <c r="I255" s="144"/>
      <c r="J255" s="144"/>
      <c r="K255" s="145"/>
      <c r="L255" s="50">
        <f ca="1">IFERROR(__xludf.DUMMYFUNCTION("IMPORTRANGE(""https://docs.google.com/spreadsheets/d/1eHaY18a8A9IcSdp1K8H6x8fbOy06t2VsZHhMHf-1x7Y/edit?usp=sharing"",""แผน!BB24"")"),0)</f>
        <v>0</v>
      </c>
      <c r="M255" s="46"/>
      <c r="N255" s="264">
        <v>0</v>
      </c>
      <c r="O255" s="46"/>
      <c r="P255" s="46"/>
    </row>
    <row r="256" spans="1:16" ht="18.75" hidden="1" x14ac:dyDescent="0.25">
      <c r="A256" s="227"/>
      <c r="B256" s="228"/>
      <c r="C256" s="228"/>
      <c r="D256" s="279" t="s">
        <v>82</v>
      </c>
      <c r="E256" s="41"/>
      <c r="F256" s="41"/>
      <c r="G256" s="43"/>
      <c r="H256" s="146" t="s">
        <v>12</v>
      </c>
      <c r="I256" s="45"/>
      <c r="J256" s="45"/>
      <c r="K256" s="46"/>
      <c r="L256" s="50">
        <f ca="1">IFERROR(__xludf.DUMMYFUNCTION("IMPORTRANGE(""https://docs.google.com/spreadsheets/d/1eHaY18a8A9IcSdp1K8H6x8fbOy06t2VsZHhMHf-1x7Y/edit?usp=sharing"",""แผน!BC24"")"),0)</f>
        <v>0</v>
      </c>
      <c r="M256" s="46"/>
      <c r="N256" s="264">
        <v>0</v>
      </c>
      <c r="O256" s="46"/>
      <c r="P256" s="46"/>
    </row>
    <row r="257" spans="1:16" ht="18.75" hidden="1" x14ac:dyDescent="0.25">
      <c r="A257" s="227"/>
      <c r="B257" s="228"/>
      <c r="C257" s="228"/>
      <c r="D257" s="279" t="s">
        <v>101</v>
      </c>
      <c r="E257" s="41"/>
      <c r="F257" s="41"/>
      <c r="G257" s="43"/>
      <c r="H257" s="146" t="s">
        <v>12</v>
      </c>
      <c r="I257" s="45"/>
      <c r="J257" s="45"/>
      <c r="K257" s="46"/>
      <c r="L257" s="50">
        <f ca="1">IFERROR(__xludf.DUMMYFUNCTION("IMPORTRANGE(""https://docs.google.com/spreadsheets/d/1eHaY18a8A9IcSdp1K8H6x8fbOy06t2VsZHhMHf-1x7Y/edit?usp=sharing"",""แผน!BD24"")"),0)</f>
        <v>0</v>
      </c>
      <c r="M257" s="46"/>
      <c r="N257" s="264">
        <v>0</v>
      </c>
      <c r="O257" s="46"/>
      <c r="P257" s="46"/>
    </row>
    <row r="258" spans="1:16" ht="18.75" hidden="1" x14ac:dyDescent="0.25">
      <c r="A258" s="227"/>
      <c r="B258" s="228"/>
      <c r="C258" s="228"/>
      <c r="D258" s="279" t="s">
        <v>102</v>
      </c>
      <c r="E258" s="41"/>
      <c r="F258" s="41"/>
      <c r="G258" s="43"/>
      <c r="H258" s="146" t="s">
        <v>12</v>
      </c>
      <c r="I258" s="45"/>
      <c r="J258" s="45"/>
      <c r="K258" s="46"/>
      <c r="L258" s="50">
        <f ca="1">IFERROR(__xludf.DUMMYFUNCTION("IMPORTRANGE(""https://docs.google.com/spreadsheets/d/1eHaY18a8A9IcSdp1K8H6x8fbOy06t2VsZHhMHf-1x7Y/edit?usp=sharing"",""แผน!BE24"")"),0)</f>
        <v>0</v>
      </c>
      <c r="M258" s="46"/>
      <c r="N258" s="264">
        <v>0</v>
      </c>
      <c r="O258" s="46"/>
      <c r="P258" s="46"/>
    </row>
    <row r="259" spans="1:16" ht="19.5" hidden="1" x14ac:dyDescent="0.3">
      <c r="A259" s="148"/>
      <c r="B259" s="149"/>
      <c r="C259" s="265" t="s">
        <v>16</v>
      </c>
      <c r="D259" s="394" t="s">
        <v>36</v>
      </c>
      <c r="E259" s="151"/>
      <c r="F259" s="151"/>
      <c r="G259" s="152"/>
      <c r="H259" s="153"/>
      <c r="I259" s="144"/>
      <c r="J259" s="45"/>
      <c r="K259" s="46"/>
      <c r="L259" s="46"/>
      <c r="M259" s="46"/>
      <c r="N259" s="46"/>
      <c r="O259" s="145"/>
      <c r="P259" s="145"/>
    </row>
    <row r="260" spans="1:16" ht="18.75" hidden="1" x14ac:dyDescent="0.25">
      <c r="A260" s="148"/>
      <c r="B260" s="149"/>
      <c r="C260" s="149"/>
      <c r="D260" s="267" t="s">
        <v>103</v>
      </c>
      <c r="E260" s="155"/>
      <c r="F260" s="155"/>
      <c r="G260" s="153"/>
      <c r="H260" s="268" t="s">
        <v>33</v>
      </c>
      <c r="I260" s="200">
        <f ca="1">IFERROR(__xludf.DUMMYFUNCTION("IMPORTRANGE(""https://docs.google.com/spreadsheets/d/1eHaY18a8A9IcSdp1K8H6x8fbOy06t2VsZHhMHf-1x7Y/edit?usp=sharing"",""แผน!BH24"")"),0)</f>
        <v>0</v>
      </c>
      <c r="J260" s="201">
        <v>0</v>
      </c>
      <c r="K260" s="50">
        <f ca="1">IF(I260&gt;0,J260*100/I260,0)</f>
        <v>0</v>
      </c>
      <c r="L260" s="46"/>
      <c r="M260" s="46"/>
      <c r="N260" s="46"/>
      <c r="O260" s="46"/>
      <c r="P260" s="46"/>
    </row>
    <row r="261" spans="1:16" ht="18.75" hidden="1" x14ac:dyDescent="0.25">
      <c r="A261" s="148"/>
      <c r="B261" s="149"/>
      <c r="C261" s="149"/>
      <c r="D261" s="269" t="s">
        <v>41</v>
      </c>
      <c r="E261" s="155"/>
      <c r="F261" s="155"/>
      <c r="G261" s="153"/>
      <c r="H261" s="153"/>
      <c r="I261" s="45"/>
      <c r="J261" s="45"/>
      <c r="K261" s="46"/>
      <c r="L261" s="46"/>
      <c r="M261" s="46"/>
      <c r="N261" s="46"/>
      <c r="O261" s="145"/>
      <c r="P261" s="145"/>
    </row>
    <row r="262" spans="1:16" ht="18.75" hidden="1" x14ac:dyDescent="0.25">
      <c r="A262" s="148"/>
      <c r="B262" s="149"/>
      <c r="C262" s="149"/>
      <c r="D262" s="149"/>
      <c r="E262" s="270" t="s">
        <v>104</v>
      </c>
      <c r="F262" s="155"/>
      <c r="G262" s="153"/>
      <c r="H262" s="268" t="s">
        <v>33</v>
      </c>
      <c r="I262" s="45"/>
      <c r="J262" s="201">
        <v>0</v>
      </c>
      <c r="K262" s="50">
        <f>IF(I262&gt;0,J262*100/I262,0)</f>
        <v>0</v>
      </c>
      <c r="L262" s="46"/>
      <c r="M262" s="46"/>
      <c r="N262" s="46"/>
      <c r="O262" s="46"/>
      <c r="P262" s="46"/>
    </row>
    <row r="263" spans="1:16" ht="18.75" hidden="1" x14ac:dyDescent="0.25">
      <c r="A263" s="148"/>
      <c r="B263" s="149"/>
      <c r="C263" s="149"/>
      <c r="D263" s="149"/>
      <c r="E263" s="270" t="s">
        <v>105</v>
      </c>
      <c r="F263" s="155"/>
      <c r="G263" s="153"/>
      <c r="H263" s="268" t="s">
        <v>54</v>
      </c>
      <c r="I263" s="45"/>
      <c r="J263" s="201">
        <v>0</v>
      </c>
      <c r="K263" s="50">
        <f>IF(I263&gt;0,J263*100/I263,0)</f>
        <v>0</v>
      </c>
      <c r="L263" s="46"/>
      <c r="M263" s="46"/>
      <c r="N263" s="46"/>
      <c r="O263" s="46"/>
      <c r="P263" s="46"/>
    </row>
    <row r="264" spans="1:16" ht="19.5" hidden="1" x14ac:dyDescent="0.3">
      <c r="A264" s="272" t="s">
        <v>108</v>
      </c>
      <c r="B264" s="215"/>
      <c r="C264" s="215"/>
      <c r="D264" s="216"/>
      <c r="E264" s="216"/>
      <c r="F264" s="216"/>
      <c r="G264" s="217"/>
      <c r="H264" s="217"/>
      <c r="I264" s="218"/>
      <c r="J264" s="218"/>
      <c r="K264" s="219"/>
      <c r="L264" s="219"/>
      <c r="M264" s="219"/>
      <c r="N264" s="219"/>
      <c r="O264" s="219"/>
      <c r="P264" s="219"/>
    </row>
    <row r="265" spans="1:16" ht="19.5" hidden="1" x14ac:dyDescent="0.3">
      <c r="A265" s="220"/>
      <c r="B265" s="273" t="s">
        <v>109</v>
      </c>
      <c r="C265" s="222"/>
      <c r="D265" s="151"/>
      <c r="E265" s="151"/>
      <c r="F265" s="151"/>
      <c r="G265" s="152"/>
      <c r="H265" s="274" t="s">
        <v>33</v>
      </c>
      <c r="I265" s="275">
        <f>I276</f>
        <v>0</v>
      </c>
      <c r="J265" s="275">
        <f>J276</f>
        <v>0</v>
      </c>
      <c r="K265" s="276">
        <f>IF(I265&gt;0,J265*100/I265,0)</f>
        <v>0</v>
      </c>
      <c r="L265" s="226"/>
      <c r="M265" s="226"/>
      <c r="N265" s="226"/>
      <c r="O265" s="226"/>
      <c r="P265" s="226"/>
    </row>
    <row r="266" spans="1:16" ht="19.5" hidden="1" x14ac:dyDescent="0.3">
      <c r="A266" s="136"/>
      <c r="B266" s="41"/>
      <c r="C266" s="260" t="s">
        <v>16</v>
      </c>
      <c r="D266" s="261" t="s">
        <v>17</v>
      </c>
      <c r="E266" s="41"/>
      <c r="F266" s="41"/>
      <c r="G266" s="43"/>
      <c r="H266" s="277" t="s">
        <v>12</v>
      </c>
      <c r="I266" s="45"/>
      <c r="J266" s="45"/>
      <c r="K266" s="46"/>
      <c r="L266" s="263">
        <f ca="1">L267+L268</f>
        <v>0</v>
      </c>
      <c r="M266" s="263">
        <f ca="1">M267+M268</f>
        <v>0</v>
      </c>
      <c r="N266" s="263">
        <f ca="1">N267+N268</f>
        <v>0</v>
      </c>
      <c r="O266" s="263">
        <f ca="1">IF(L266&gt;0,N266*100/L266,0)</f>
        <v>0</v>
      </c>
      <c r="P266" s="263">
        <f ca="1">IF(M266&gt;0,N266*100/M266,0)</f>
        <v>0</v>
      </c>
    </row>
    <row r="267" spans="1:16" ht="18.75" hidden="1" x14ac:dyDescent="0.25">
      <c r="A267" s="136"/>
      <c r="B267" s="41"/>
      <c r="C267" s="41"/>
      <c r="D267" s="41"/>
      <c r="E267" s="279" t="s">
        <v>18</v>
      </c>
      <c r="F267" s="41"/>
      <c r="G267" s="43"/>
      <c r="H267" s="141" t="s">
        <v>12</v>
      </c>
      <c r="I267" s="45"/>
      <c r="J267" s="45"/>
      <c r="K267" s="46"/>
      <c r="L267" s="50">
        <f>L270+L273</f>
        <v>0</v>
      </c>
      <c r="M267" s="50">
        <f>M270+M273</f>
        <v>0</v>
      </c>
      <c r="N267" s="50">
        <f>N270+N273</f>
        <v>0</v>
      </c>
      <c r="O267" s="50">
        <f>IF(L267&gt;0,N267*100/L267,0)</f>
        <v>0</v>
      </c>
      <c r="P267" s="50">
        <f>IF(M267&gt;0,N267*100/M267,0)</f>
        <v>0</v>
      </c>
    </row>
    <row r="268" spans="1:16" ht="18.75" hidden="1" x14ac:dyDescent="0.25">
      <c r="A268" s="136"/>
      <c r="B268" s="41"/>
      <c r="C268" s="41"/>
      <c r="D268" s="41"/>
      <c r="E268" s="279" t="s">
        <v>19</v>
      </c>
      <c r="F268" s="41"/>
      <c r="G268" s="43"/>
      <c r="H268" s="141" t="s">
        <v>12</v>
      </c>
      <c r="I268" s="45"/>
      <c r="J268" s="45"/>
      <c r="K268" s="46"/>
      <c r="L268" s="50">
        <f ca="1">L271+L274</f>
        <v>0</v>
      </c>
      <c r="M268" s="50">
        <f ca="1">M271+M274</f>
        <v>0</v>
      </c>
      <c r="N268" s="50">
        <f ca="1">N271+N274</f>
        <v>0</v>
      </c>
      <c r="O268" s="50">
        <f ca="1">IF(L268&gt;0,N268*100/L268,0)</f>
        <v>0</v>
      </c>
      <c r="P268" s="50">
        <f ca="1">IF(M268&gt;0,N268*100/M268,0)</f>
        <v>0</v>
      </c>
    </row>
    <row r="269" spans="1:16" ht="18.75" hidden="1" x14ac:dyDescent="0.25">
      <c r="A269" s="136"/>
      <c r="B269" s="41"/>
      <c r="C269" s="41"/>
      <c r="D269" s="278" t="s">
        <v>20</v>
      </c>
      <c r="E269" s="41"/>
      <c r="F269" s="41"/>
      <c r="G269" s="43"/>
      <c r="H269" s="146" t="s">
        <v>12</v>
      </c>
      <c r="I269" s="144"/>
      <c r="J269" s="144"/>
      <c r="K269" s="145"/>
      <c r="L269" s="50">
        <f ca="1">L270+L271</f>
        <v>0</v>
      </c>
      <c r="M269" s="50">
        <f ca="1">M270+M271</f>
        <v>0</v>
      </c>
      <c r="N269" s="50">
        <f ca="1">N270+N271</f>
        <v>0</v>
      </c>
      <c r="O269" s="50">
        <f ca="1">IF(L269&gt;0,N269*100/L269,0)</f>
        <v>0</v>
      </c>
      <c r="P269" s="50">
        <f ca="1">IF(M269&gt;0,N269*100/M269,0)</f>
        <v>0</v>
      </c>
    </row>
    <row r="270" spans="1:16" ht="18.75" hidden="1" x14ac:dyDescent="0.25">
      <c r="A270" s="136"/>
      <c r="B270" s="41"/>
      <c r="C270" s="41"/>
      <c r="D270" s="41"/>
      <c r="E270" s="279" t="s">
        <v>34</v>
      </c>
      <c r="F270" s="41"/>
      <c r="G270" s="43"/>
      <c r="H270" s="146" t="s">
        <v>12</v>
      </c>
      <c r="I270" s="144"/>
      <c r="J270" s="144"/>
      <c r="K270" s="145"/>
      <c r="L270" s="50">
        <v>0</v>
      </c>
      <c r="M270" s="50">
        <v>0</v>
      </c>
      <c r="N270" s="50">
        <v>0</v>
      </c>
      <c r="O270" s="50">
        <f>IF(L270&gt;0,N270*100/L270,0)</f>
        <v>0</v>
      </c>
      <c r="P270" s="50">
        <f>IF(M270&gt;0,N270*100/M270,0)</f>
        <v>0</v>
      </c>
    </row>
    <row r="271" spans="1:16" ht="18.75" hidden="1" x14ac:dyDescent="0.25">
      <c r="A271" s="136"/>
      <c r="B271" s="41"/>
      <c r="C271" s="41"/>
      <c r="D271" s="41"/>
      <c r="E271" s="279" t="s">
        <v>35</v>
      </c>
      <c r="F271" s="41"/>
      <c r="G271" s="43"/>
      <c r="H271" s="146" t="s">
        <v>12</v>
      </c>
      <c r="I271" s="144"/>
      <c r="J271" s="144"/>
      <c r="K271" s="145"/>
      <c r="L271" s="50">
        <f ca="1">IFERROR(__xludf.DUMMYFUNCTION("IMPORTRANGE(""https://docs.google.com/spreadsheets/d/1-uDff_7J0KD5mKrp0Vvzr7lt3OU09vwQwhkpOPPYv2Y/edit?usp=sharing"",""งบพรบ!DE24"")"),0)</f>
        <v>0</v>
      </c>
      <c r="M271" s="50">
        <f ca="1">IFERROR(__xludf.DUMMYFUNCTION("IMPORTRANGE(""https://docs.google.com/spreadsheets/d/1-uDff_7J0KD5mKrp0Vvzr7lt3OU09vwQwhkpOPPYv2Y/edit?usp=sharing"",""งบพรบ!DJ24"")"),0)</f>
        <v>0</v>
      </c>
      <c r="N271" s="50">
        <f ca="1">IFERROR(__xludf.DUMMYFUNCTION("IMPORTRANGE(""https://docs.google.com/spreadsheets/d/1-uDff_7J0KD5mKrp0Vvzr7lt3OU09vwQwhkpOPPYv2Y/edit?usp=sharing"",""งบพรบ!DL24"")"),0)</f>
        <v>0</v>
      </c>
      <c r="O271" s="50">
        <f ca="1">IF(L271&gt;0,N271*100/L271,0)</f>
        <v>0</v>
      </c>
      <c r="P271" s="50">
        <f ca="1">IF(M271&gt;0,N271*100/M271,0)</f>
        <v>0</v>
      </c>
    </row>
    <row r="272" spans="1:16" ht="18.75" hidden="1" x14ac:dyDescent="0.25">
      <c r="A272" s="136"/>
      <c r="B272" s="41"/>
      <c r="C272" s="41"/>
      <c r="D272" s="278" t="s">
        <v>21</v>
      </c>
      <c r="E272" s="41"/>
      <c r="F272" s="41"/>
      <c r="G272" s="43"/>
      <c r="H272" s="199" t="s">
        <v>12</v>
      </c>
      <c r="I272" s="144"/>
      <c r="J272" s="144"/>
      <c r="K272" s="145"/>
      <c r="L272" s="50">
        <f ca="1">L273+L274</f>
        <v>0</v>
      </c>
      <c r="M272" s="50">
        <f ca="1">M273+M274</f>
        <v>0</v>
      </c>
      <c r="N272" s="50">
        <f ca="1">N273+N274</f>
        <v>0</v>
      </c>
      <c r="O272" s="50">
        <f ca="1">IF(L272&gt;0,N272*100/L272,0)</f>
        <v>0</v>
      </c>
      <c r="P272" s="50">
        <f ca="1">IF(M272&gt;0,N272*100/M272,0)</f>
        <v>0</v>
      </c>
    </row>
    <row r="273" spans="1:16" ht="18.75" hidden="1" x14ac:dyDescent="0.25">
      <c r="A273" s="136"/>
      <c r="B273" s="41"/>
      <c r="C273" s="41"/>
      <c r="D273" s="41"/>
      <c r="E273" s="279" t="s">
        <v>18</v>
      </c>
      <c r="F273" s="41"/>
      <c r="G273" s="43"/>
      <c r="H273" s="146" t="s">
        <v>12</v>
      </c>
      <c r="I273" s="144"/>
      <c r="J273" s="144"/>
      <c r="K273" s="145"/>
      <c r="L273" s="50">
        <v>0</v>
      </c>
      <c r="M273" s="50">
        <v>0</v>
      </c>
      <c r="N273" s="50">
        <v>0</v>
      </c>
      <c r="O273" s="50">
        <f>IF(L273&gt;0,N273*100/L273,0)</f>
        <v>0</v>
      </c>
      <c r="P273" s="50">
        <f>IF(M273&gt;0,N273*100/M273,0)</f>
        <v>0</v>
      </c>
    </row>
    <row r="274" spans="1:16" ht="18.75" hidden="1" x14ac:dyDescent="0.25">
      <c r="A274" s="136"/>
      <c r="B274" s="41"/>
      <c r="C274" s="41"/>
      <c r="D274" s="41"/>
      <c r="E274" s="279" t="s">
        <v>19</v>
      </c>
      <c r="F274" s="41"/>
      <c r="G274" s="43"/>
      <c r="H274" s="199" t="s">
        <v>12</v>
      </c>
      <c r="I274" s="144"/>
      <c r="J274" s="144"/>
      <c r="K274" s="145"/>
      <c r="L274" s="50">
        <f ca="1">IFERROR(__xludf.DUMMYFUNCTION("IMPORTRANGE(""https://docs.google.com/spreadsheets/d/1-uDff_7J0KD5mKrp0Vvzr7lt3OU09vwQwhkpOPPYv2Y/edit?usp=sharing"",""งบพรบ!DH24"")"),0)</f>
        <v>0</v>
      </c>
      <c r="M274" s="50">
        <f ca="1">IFERROR(__xludf.DUMMYFUNCTION("IMPORTRANGE(""https://docs.google.com/spreadsheets/d/1-uDff_7J0KD5mKrp0Vvzr7lt3OU09vwQwhkpOPPYv2Y/edit?usp=sharing"",""งบพรบ!DK24"")"),0)</f>
        <v>0</v>
      </c>
      <c r="N274" s="50">
        <f ca="1">IFERROR(__xludf.DUMMYFUNCTION("IMPORTRANGE(""https://docs.google.com/spreadsheets/d/1-uDff_7J0KD5mKrp0Vvzr7lt3OU09vwQwhkpOPPYv2Y/edit?usp=sharing"",""งบพรบ!DM24"")"),0)</f>
        <v>0</v>
      </c>
      <c r="O274" s="50">
        <f ca="1">IF(L274&gt;0,N274*100/L274,0)</f>
        <v>0</v>
      </c>
      <c r="P274" s="50">
        <f ca="1">IF(M274&gt;0,N274*100/M274,0)</f>
        <v>0</v>
      </c>
    </row>
    <row r="275" spans="1:16" ht="19.5" hidden="1" x14ac:dyDescent="0.3">
      <c r="A275" s="148"/>
      <c r="B275" s="149"/>
      <c r="C275" s="279" t="s">
        <v>16</v>
      </c>
      <c r="D275" s="394" t="s">
        <v>36</v>
      </c>
      <c r="E275" s="151"/>
      <c r="F275" s="151"/>
      <c r="G275" s="152"/>
      <c r="H275" s="153"/>
      <c r="I275" s="144"/>
      <c r="J275" s="144"/>
      <c r="K275" s="145"/>
      <c r="L275" s="145"/>
      <c r="M275" s="145"/>
      <c r="N275" s="145"/>
      <c r="O275" s="145"/>
      <c r="P275" s="145"/>
    </row>
    <row r="276" spans="1:16" ht="12.75" hidden="1" x14ac:dyDescent="0.2">
      <c r="A276" s="165"/>
      <c r="B276" s="166"/>
      <c r="C276" s="166"/>
      <c r="D276" s="16"/>
      <c r="E276" s="16"/>
      <c r="F276" s="16"/>
      <c r="G276" s="17"/>
      <c r="H276" s="17"/>
      <c r="I276" s="18"/>
      <c r="J276" s="18"/>
      <c r="K276" s="19"/>
      <c r="L276" s="19"/>
      <c r="M276" s="19"/>
      <c r="N276" s="19"/>
      <c r="O276" s="19"/>
      <c r="P276" s="19"/>
    </row>
    <row r="277" spans="1:16" ht="18.75" hidden="1" x14ac:dyDescent="0.25">
      <c r="A277" s="280"/>
      <c r="B277" s="281"/>
      <c r="C277" s="281"/>
      <c r="D277" s="282" t="s">
        <v>110</v>
      </c>
      <c r="E277" s="283"/>
      <c r="F277" s="283"/>
      <c r="G277" s="284"/>
      <c r="H277" s="285" t="s">
        <v>33</v>
      </c>
      <c r="I277" s="205">
        <v>0</v>
      </c>
      <c r="J277" s="205">
        <v>0</v>
      </c>
      <c r="K277" s="286">
        <v>0</v>
      </c>
      <c r="L277" s="287"/>
      <c r="M277" s="287"/>
      <c r="N277" s="287"/>
      <c r="O277" s="287"/>
      <c r="P277" s="287"/>
    </row>
    <row r="278" spans="1:16" ht="19.5" x14ac:dyDescent="0.3">
      <c r="A278" s="288" t="s">
        <v>111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</row>
    <row r="279" spans="1:16" ht="19.5" x14ac:dyDescent="0.3">
      <c r="A279" s="294" t="s">
        <v>112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299"/>
      <c r="M279" s="299"/>
      <c r="N279" s="299"/>
      <c r="O279" s="299"/>
      <c r="P279" s="299"/>
    </row>
    <row r="280" spans="1:16" ht="19.5" x14ac:dyDescent="0.3">
      <c r="A280" s="300"/>
      <c r="B280" s="301" t="s">
        <v>113</v>
      </c>
      <c r="C280" s="302"/>
      <c r="D280" s="303"/>
      <c r="E280" s="302"/>
      <c r="F280" s="302"/>
      <c r="G280" s="304"/>
      <c r="H280" s="305" t="s">
        <v>33</v>
      </c>
      <c r="I280" s="306">
        <f ca="1">I293</f>
        <v>10</v>
      </c>
      <c r="J280" s="306">
        <f>J293</f>
        <v>0</v>
      </c>
      <c r="K280" s="307">
        <f ca="1">IF(I280&gt;0,J280*100/I280,0)</f>
        <v>0</v>
      </c>
      <c r="L280" s="308"/>
      <c r="M280" s="308"/>
      <c r="N280" s="308"/>
      <c r="O280" s="308"/>
      <c r="P280" s="308"/>
    </row>
    <row r="281" spans="1:16" ht="19.5" x14ac:dyDescent="0.3">
      <c r="A281" s="300"/>
      <c r="B281" s="302"/>
      <c r="C281" s="302"/>
      <c r="D281" s="303"/>
      <c r="E281" s="302"/>
      <c r="F281" s="302"/>
      <c r="G281" s="304"/>
      <c r="H281" s="305" t="s">
        <v>44</v>
      </c>
      <c r="I281" s="306">
        <f ca="1">I292</f>
        <v>100</v>
      </c>
      <c r="J281" s="306">
        <f>J292</f>
        <v>0</v>
      </c>
      <c r="K281" s="307">
        <f ca="1">IF(I281&gt;0,J281*100/I281,0)</f>
        <v>0</v>
      </c>
      <c r="L281" s="308"/>
      <c r="M281" s="308"/>
      <c r="N281" s="308"/>
      <c r="O281" s="308"/>
      <c r="P281" s="308"/>
    </row>
    <row r="282" spans="1:16" ht="19.5" x14ac:dyDescent="0.3">
      <c r="A282" s="136"/>
      <c r="B282" s="41"/>
      <c r="C282" s="197" t="s">
        <v>16</v>
      </c>
      <c r="D282" s="397" t="s">
        <v>17</v>
      </c>
      <c r="E282" s="41"/>
      <c r="F282" s="41"/>
      <c r="G282" s="43"/>
      <c r="H282" s="139" t="s">
        <v>12</v>
      </c>
      <c r="I282" s="45"/>
      <c r="J282" s="45"/>
      <c r="K282" s="46"/>
      <c r="L282" s="140">
        <f ca="1">L283+L284</f>
        <v>56120</v>
      </c>
      <c r="M282" s="140">
        <f ca="1">M283+M284</f>
        <v>44480</v>
      </c>
      <c r="N282" s="140">
        <f ca="1">N283+N284</f>
        <v>2050</v>
      </c>
      <c r="O282" s="140">
        <f ca="1">IF(L282&gt;0,N282*100/L282,0)</f>
        <v>3.652886671418389</v>
      </c>
      <c r="P282" s="140">
        <f ca="1">IF(M282&gt;0,N282*100/M282,0)</f>
        <v>4.6088129496402876</v>
      </c>
    </row>
    <row r="283" spans="1:16" ht="18.75" hidden="1" x14ac:dyDescent="0.25">
      <c r="A283" s="136"/>
      <c r="B283" s="41"/>
      <c r="C283" s="41"/>
      <c r="D283" s="41"/>
      <c r="E283" s="279" t="s">
        <v>18</v>
      </c>
      <c r="F283" s="41"/>
      <c r="G283" s="43"/>
      <c r="H283" s="141" t="s">
        <v>12</v>
      </c>
      <c r="I283" s="45"/>
      <c r="J283" s="45"/>
      <c r="K283" s="46"/>
      <c r="L283" s="50">
        <f>L286+L289</f>
        <v>0</v>
      </c>
      <c r="M283" s="50">
        <f>M286+M289</f>
        <v>0</v>
      </c>
      <c r="N283" s="50">
        <f>N286+N289</f>
        <v>0</v>
      </c>
      <c r="O283" s="50">
        <f>IF(L283&gt;0,N283*100/L283,0)</f>
        <v>0</v>
      </c>
      <c r="P283" s="50">
        <f>IF(M283&gt;0,N283*100/M283,0)</f>
        <v>0</v>
      </c>
    </row>
    <row r="284" spans="1:16" ht="18.75" x14ac:dyDescent="0.25">
      <c r="A284" s="136"/>
      <c r="B284" s="41"/>
      <c r="C284" s="41"/>
      <c r="D284" s="41"/>
      <c r="E284" s="254" t="s">
        <v>19</v>
      </c>
      <c r="F284" s="41"/>
      <c r="G284" s="43"/>
      <c r="H284" s="142" t="s">
        <v>12</v>
      </c>
      <c r="I284" s="45"/>
      <c r="J284" s="45"/>
      <c r="K284" s="46"/>
      <c r="L284" s="47">
        <f ca="1">L287+L290</f>
        <v>56120</v>
      </c>
      <c r="M284" s="47">
        <f ca="1">M287+M290</f>
        <v>44480</v>
      </c>
      <c r="N284" s="47">
        <f ca="1">N287+N290</f>
        <v>2050</v>
      </c>
      <c r="O284" s="47">
        <f ca="1">IF(L284&gt;0,N284*100/L284,0)</f>
        <v>3.652886671418389</v>
      </c>
      <c r="P284" s="47">
        <f ca="1">IF(M284&gt;0,N284*100/M284,0)</f>
        <v>4.6088129496402876</v>
      </c>
    </row>
    <row r="285" spans="1:16" ht="18.75" x14ac:dyDescent="0.25">
      <c r="A285" s="136"/>
      <c r="B285" s="41"/>
      <c r="C285" s="41"/>
      <c r="D285" s="42" t="s">
        <v>20</v>
      </c>
      <c r="E285" s="41"/>
      <c r="F285" s="41"/>
      <c r="G285" s="43"/>
      <c r="H285" s="143" t="s">
        <v>12</v>
      </c>
      <c r="I285" s="144"/>
      <c r="J285" s="144"/>
      <c r="K285" s="145"/>
      <c r="L285" s="47">
        <f ca="1">L286+L287</f>
        <v>56120</v>
      </c>
      <c r="M285" s="47">
        <f ca="1">M286+M287</f>
        <v>44480</v>
      </c>
      <c r="N285" s="47">
        <f ca="1">N286+N287</f>
        <v>2050</v>
      </c>
      <c r="O285" s="47">
        <f ca="1">IF(L285&gt;0,N285*100/L285,0)</f>
        <v>3.652886671418389</v>
      </c>
      <c r="P285" s="47">
        <f ca="1">IF(M285&gt;0,N285*100/M285,0)</f>
        <v>4.6088129496402876</v>
      </c>
    </row>
    <row r="286" spans="1:16" ht="18.75" hidden="1" x14ac:dyDescent="0.25">
      <c r="A286" s="136"/>
      <c r="B286" s="41"/>
      <c r="C286" s="41"/>
      <c r="D286" s="41"/>
      <c r="E286" s="279" t="s">
        <v>34</v>
      </c>
      <c r="F286" s="41"/>
      <c r="G286" s="43"/>
      <c r="H286" s="146" t="s">
        <v>12</v>
      </c>
      <c r="I286" s="144"/>
      <c r="J286" s="144"/>
      <c r="K286" s="145"/>
      <c r="L286" s="50">
        <v>0</v>
      </c>
      <c r="M286" s="50">
        <v>0</v>
      </c>
      <c r="N286" s="50">
        <v>0</v>
      </c>
      <c r="O286" s="50">
        <f>IF(L286&gt;0,N286*100/L286,0)</f>
        <v>0</v>
      </c>
      <c r="P286" s="50">
        <f>IF(M286&gt;0,N286*100/M286,0)</f>
        <v>0</v>
      </c>
    </row>
    <row r="287" spans="1:16" ht="18.75" x14ac:dyDescent="0.25">
      <c r="A287" s="136"/>
      <c r="B287" s="41"/>
      <c r="C287" s="41"/>
      <c r="D287" s="41"/>
      <c r="E287" s="254" t="s">
        <v>35</v>
      </c>
      <c r="F287" s="41"/>
      <c r="G287" s="43"/>
      <c r="H287" s="143" t="s">
        <v>12</v>
      </c>
      <c r="I287" s="144"/>
      <c r="J287" s="144"/>
      <c r="K287" s="145"/>
      <c r="L287" s="47">
        <f ca="1">IFERROR(__xludf.DUMMYFUNCTION("IMPORTRANGE(""https://docs.google.com/spreadsheets/d/1-uDff_7J0KD5mKrp0Vvzr7lt3OU09vwQwhkpOPPYv2Y/edit?usp=sharing"",""งบพรบ!DO24"")"),56120)</f>
        <v>56120</v>
      </c>
      <c r="M287" s="47">
        <f ca="1">IFERROR(__xludf.DUMMYFUNCTION("IMPORTRANGE(""https://docs.google.com/spreadsheets/d/1-uDff_7J0KD5mKrp0Vvzr7lt3OU09vwQwhkpOPPYv2Y/edit?usp=sharing"",""งบพรบ!DT24"")"),44480)</f>
        <v>44480</v>
      </c>
      <c r="N287" s="47">
        <f ca="1">IFERROR(__xludf.DUMMYFUNCTION("IMPORTRANGE(""https://docs.google.com/spreadsheets/d/1-uDff_7J0KD5mKrp0Vvzr7lt3OU09vwQwhkpOPPYv2Y/edit?usp=sharing"",""งบพรบ!DV24"")"),2050)</f>
        <v>2050</v>
      </c>
      <c r="O287" s="47">
        <f ca="1">IF(L287&gt;0,N287*100/L287,0)</f>
        <v>3.652886671418389</v>
      </c>
      <c r="P287" s="47">
        <f ca="1">IF(M287&gt;0,N287*100/M287,0)</f>
        <v>4.6088129496402876</v>
      </c>
    </row>
    <row r="288" spans="1:16" ht="18.75" x14ac:dyDescent="0.25">
      <c r="A288" s="136"/>
      <c r="B288" s="41"/>
      <c r="C288" s="41"/>
      <c r="D288" s="42" t="s">
        <v>21</v>
      </c>
      <c r="E288" s="41"/>
      <c r="F288" s="41"/>
      <c r="G288" s="43"/>
      <c r="H288" s="147" t="s">
        <v>12</v>
      </c>
      <c r="I288" s="144"/>
      <c r="J288" s="144"/>
      <c r="K288" s="145"/>
      <c r="L288" s="47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</row>
    <row r="289" spans="1:16" ht="18.75" hidden="1" x14ac:dyDescent="0.25">
      <c r="A289" s="136"/>
      <c r="B289" s="41"/>
      <c r="C289" s="41"/>
      <c r="D289" s="41"/>
      <c r="E289" s="279" t="s">
        <v>18</v>
      </c>
      <c r="F289" s="41"/>
      <c r="G289" s="43"/>
      <c r="H289" s="146" t="s">
        <v>12</v>
      </c>
      <c r="I289" s="144"/>
      <c r="J289" s="144"/>
      <c r="K289" s="145"/>
      <c r="L289" s="50">
        <v>0</v>
      </c>
      <c r="M289" s="50">
        <v>0</v>
      </c>
      <c r="N289" s="50">
        <v>0</v>
      </c>
      <c r="O289" s="50">
        <f>IF(L289&gt;0,N289*100/L289,0)</f>
        <v>0</v>
      </c>
      <c r="P289" s="50">
        <f>IF(M289&gt;0,N289*100/M289,0)</f>
        <v>0</v>
      </c>
    </row>
    <row r="290" spans="1:16" ht="18.75" x14ac:dyDescent="0.25">
      <c r="A290" s="136"/>
      <c r="B290" s="41"/>
      <c r="C290" s="41"/>
      <c r="D290" s="41"/>
      <c r="E290" s="254" t="s">
        <v>19</v>
      </c>
      <c r="F290" s="41"/>
      <c r="G290" s="43"/>
      <c r="H290" s="147" t="s">
        <v>12</v>
      </c>
      <c r="I290" s="144"/>
      <c r="J290" s="144"/>
      <c r="K290" s="145"/>
      <c r="L290" s="47">
        <f ca="1">IFERROR(__xludf.DUMMYFUNCTION("IMPORTRANGE(""https://docs.google.com/spreadsheets/d/1-uDff_7J0KD5mKrp0Vvzr7lt3OU09vwQwhkpOPPYv2Y/edit?usp=sharing"",""งบพรบ!DR24"")"),0)</f>
        <v>0</v>
      </c>
      <c r="M290" s="47">
        <f ca="1">IFERROR(__xludf.DUMMYFUNCTION("IMPORTRANGE(""https://docs.google.com/spreadsheets/d/1-uDff_7J0KD5mKrp0Vvzr7lt3OU09vwQwhkpOPPYv2Y/edit?usp=sharing"",""งบพรบ!DU24"")"),0)</f>
        <v>0</v>
      </c>
      <c r="N290" s="47">
        <f ca="1">IFERROR(__xludf.DUMMYFUNCTION("IMPORTRANGE(""https://docs.google.com/spreadsheets/d/1-uDff_7J0KD5mKrp0Vvzr7lt3OU09vwQwhkpOPPYv2Y/edit?usp=sharing"",""งบพรบ!DW24"")"),0)</f>
        <v>0</v>
      </c>
      <c r="O290" s="47">
        <f ca="1">IF(L290&gt;0,N290*100/L290,0)</f>
        <v>0</v>
      </c>
      <c r="P290" s="47">
        <f ca="1">IF(M290&gt;0,N290*100/M290,0)</f>
        <v>0</v>
      </c>
    </row>
    <row r="291" spans="1:16" ht="19.5" x14ac:dyDescent="0.3">
      <c r="A291" s="148"/>
      <c r="B291" s="149"/>
      <c r="C291" s="197" t="s">
        <v>16</v>
      </c>
      <c r="D291" s="395" t="s">
        <v>36</v>
      </c>
      <c r="E291" s="151"/>
      <c r="F291" s="151"/>
      <c r="G291" s="152"/>
      <c r="H291" s="153"/>
      <c r="I291" s="144"/>
      <c r="J291" s="144"/>
      <c r="K291" s="145"/>
      <c r="L291" s="145"/>
      <c r="M291" s="145"/>
      <c r="N291" s="145"/>
      <c r="O291" s="145"/>
      <c r="P291" s="145"/>
    </row>
    <row r="292" spans="1:16" ht="18.75" x14ac:dyDescent="0.25">
      <c r="A292" s="148"/>
      <c r="B292" s="149"/>
      <c r="C292" s="149"/>
      <c r="D292" s="159" t="s">
        <v>114</v>
      </c>
      <c r="E292" s="149"/>
      <c r="F292" s="155"/>
      <c r="G292" s="153"/>
      <c r="H292" s="164" t="s">
        <v>44</v>
      </c>
      <c r="I292" s="169">
        <f ca="1">IFERROR(__xludf.DUMMYFUNCTION("IMPORTRANGE(""https://docs.google.com/spreadsheets/d/1eHaY18a8A9IcSdp1K8H6x8fbOy06t2VsZHhMHf-1x7Y/edit?usp=sharing"",""แผน!EE24"")"),100)</f>
        <v>100</v>
      </c>
      <c r="J292" s="250">
        <v>0</v>
      </c>
      <c r="K292" s="163">
        <f ca="1">IF(I292&gt;0,J292*100/I292,0)</f>
        <v>0</v>
      </c>
      <c r="L292" s="145"/>
      <c r="M292" s="145"/>
      <c r="N292" s="145"/>
      <c r="O292" s="145"/>
      <c r="P292" s="145"/>
    </row>
    <row r="293" spans="1:16" ht="19.5" x14ac:dyDescent="0.3">
      <c r="A293" s="148"/>
      <c r="B293" s="149"/>
      <c r="C293" s="149"/>
      <c r="D293" s="159" t="s">
        <v>115</v>
      </c>
      <c r="E293" s="149"/>
      <c r="F293" s="155"/>
      <c r="G293" s="153"/>
      <c r="H293" s="156" t="s">
        <v>33</v>
      </c>
      <c r="I293" s="157">
        <f ca="1">IFERROR(__xludf.DUMMYFUNCTION("IMPORTRANGE(""https://docs.google.com/spreadsheets/d/1eHaY18a8A9IcSdp1K8H6x8fbOy06t2VsZHhMHf-1x7Y/edit?usp=sharing"",""แผน!ED24"")"),10)</f>
        <v>10</v>
      </c>
      <c r="J293" s="157">
        <f>J296</f>
        <v>0</v>
      </c>
      <c r="K293" s="158">
        <f ca="1">IF(I293&gt;0,J293*100/I293,0)</f>
        <v>0</v>
      </c>
      <c r="L293" s="145"/>
      <c r="M293" s="145"/>
      <c r="N293" s="145"/>
      <c r="O293" s="145"/>
      <c r="P293" s="145"/>
    </row>
    <row r="294" spans="1:16" ht="19.5" x14ac:dyDescent="0.3">
      <c r="A294" s="148"/>
      <c r="B294" s="149"/>
      <c r="C294" s="149"/>
      <c r="D294" s="155"/>
      <c r="E294" s="167" t="s">
        <v>116</v>
      </c>
      <c r="F294" s="155"/>
      <c r="G294" s="153"/>
      <c r="H294" s="153"/>
      <c r="I294" s="144"/>
      <c r="J294" s="45"/>
      <c r="K294" s="145"/>
      <c r="L294" s="145"/>
      <c r="M294" s="145"/>
      <c r="N294" s="145"/>
      <c r="O294" s="145"/>
      <c r="P294" s="145"/>
    </row>
    <row r="295" spans="1:16" ht="19.5" x14ac:dyDescent="0.3">
      <c r="A295" s="148"/>
      <c r="B295" s="149"/>
      <c r="C295" s="149"/>
      <c r="D295" s="155"/>
      <c r="E295" s="159" t="s">
        <v>117</v>
      </c>
      <c r="F295" s="155"/>
      <c r="G295" s="153"/>
      <c r="H295" s="251" t="s">
        <v>33</v>
      </c>
      <c r="I295" s="161">
        <f ca="1">IFERROR(__xludf.DUMMYFUNCTION("IMPORTRANGE(""https://docs.google.com/spreadsheets/d/1eHaY18a8A9IcSdp1K8H6x8fbOy06t2VsZHhMHf-1x7Y/edit?usp=sharing"",""แผน!ED24"")"),10)</f>
        <v>10</v>
      </c>
      <c r="J295" s="250">
        <v>0</v>
      </c>
      <c r="K295" s="163">
        <f ca="1">IF(I295&gt;0,J295*100/I295,0)</f>
        <v>0</v>
      </c>
      <c r="L295" s="145"/>
      <c r="M295" s="145"/>
      <c r="N295" s="145"/>
      <c r="O295" s="145"/>
      <c r="P295" s="145"/>
    </row>
    <row r="296" spans="1:16" ht="19.5" x14ac:dyDescent="0.3">
      <c r="A296" s="148"/>
      <c r="B296" s="149"/>
      <c r="C296" s="149"/>
      <c r="D296" s="155"/>
      <c r="E296" s="159" t="s">
        <v>118</v>
      </c>
      <c r="F296" s="155"/>
      <c r="G296" s="153"/>
      <c r="H296" s="251" t="s">
        <v>33</v>
      </c>
      <c r="I296" s="161">
        <f ca="1">IFERROR(__xludf.DUMMYFUNCTION("IMPORTRANGE(""https://docs.google.com/spreadsheets/d/1eHaY18a8A9IcSdp1K8H6x8fbOy06t2VsZHhMHf-1x7Y/edit?usp=sharing"",""แผน!ED24"")"),10)</f>
        <v>10</v>
      </c>
      <c r="J296" s="250">
        <v>0</v>
      </c>
      <c r="K296" s="163">
        <f ca="1">IF(I296&gt;0,J296*100/I296,0)</f>
        <v>0</v>
      </c>
      <c r="L296" s="145"/>
      <c r="M296" s="145"/>
      <c r="N296" s="145"/>
      <c r="O296" s="145"/>
      <c r="P296" s="145"/>
    </row>
    <row r="297" spans="1:16" ht="12.75" hidden="1" x14ac:dyDescent="0.2">
      <c r="A297" s="165"/>
      <c r="B297" s="166"/>
      <c r="C297" s="166"/>
      <c r="D297" s="16"/>
      <c r="E297" s="16"/>
      <c r="F297" s="16"/>
      <c r="G297" s="17"/>
      <c r="H297" s="17"/>
      <c r="I297" s="18"/>
      <c r="J297" s="18"/>
      <c r="K297" s="19"/>
      <c r="L297" s="19"/>
      <c r="M297" s="19"/>
      <c r="N297" s="19"/>
      <c r="O297" s="19"/>
      <c r="P297" s="19"/>
    </row>
    <row r="298" spans="1:16" ht="12.75" hidden="1" x14ac:dyDescent="0.2">
      <c r="A298" s="165"/>
      <c r="B298" s="166"/>
      <c r="C298" s="166"/>
      <c r="D298" s="16"/>
      <c r="E298" s="16"/>
      <c r="F298" s="16"/>
      <c r="G298" s="17"/>
      <c r="H298" s="17"/>
      <c r="I298" s="18"/>
      <c r="J298" s="18"/>
      <c r="K298" s="19"/>
      <c r="L298" s="19"/>
      <c r="M298" s="19"/>
      <c r="N298" s="19"/>
      <c r="O298" s="19"/>
      <c r="P298" s="19"/>
    </row>
    <row r="299" spans="1:16" ht="12.75" hidden="1" x14ac:dyDescent="0.2">
      <c r="A299" s="309"/>
      <c r="B299" s="310"/>
      <c r="C299" s="310"/>
      <c r="D299" s="21"/>
      <c r="E299" s="21"/>
      <c r="F299" s="21"/>
      <c r="G299" s="12"/>
      <c r="H299" s="12"/>
      <c r="I299" s="13"/>
      <c r="J299" s="13"/>
      <c r="K299" s="14"/>
      <c r="L299" s="14"/>
      <c r="M299" s="14"/>
      <c r="N299" s="14"/>
      <c r="O299" s="14"/>
      <c r="P299" s="14"/>
    </row>
    <row r="300" spans="1:16" ht="19.5" hidden="1" x14ac:dyDescent="0.3">
      <c r="A300" s="311" t="s">
        <v>119</v>
      </c>
      <c r="B300" s="312"/>
      <c r="C300" s="312"/>
      <c r="D300" s="312"/>
      <c r="E300" s="313"/>
      <c r="F300" s="313"/>
      <c r="G300" s="313"/>
      <c r="H300" s="313"/>
      <c r="I300" s="314"/>
      <c r="J300" s="314"/>
      <c r="K300" s="315"/>
      <c r="L300" s="315"/>
      <c r="M300" s="315"/>
      <c r="N300" s="315"/>
      <c r="O300" s="315"/>
      <c r="P300" s="316"/>
    </row>
    <row r="301" spans="1:16" ht="19.5" hidden="1" x14ac:dyDescent="0.3">
      <c r="A301" s="317" t="s">
        <v>120</v>
      </c>
      <c r="B301" s="318"/>
      <c r="C301" s="318"/>
      <c r="D301" s="319"/>
      <c r="E301" s="319"/>
      <c r="F301" s="319"/>
      <c r="G301" s="320"/>
      <c r="H301" s="320"/>
      <c r="I301" s="321"/>
      <c r="J301" s="321"/>
      <c r="K301" s="322"/>
      <c r="L301" s="322"/>
      <c r="M301" s="322"/>
      <c r="N301" s="322"/>
      <c r="O301" s="322"/>
      <c r="P301" s="322"/>
    </row>
    <row r="302" spans="1:16" ht="19.5" hidden="1" x14ac:dyDescent="0.3">
      <c r="A302" s="323"/>
      <c r="B302" s="324" t="s">
        <v>121</v>
      </c>
      <c r="C302" s="325"/>
      <c r="D302" s="325"/>
      <c r="E302" s="325"/>
      <c r="F302" s="325"/>
      <c r="G302" s="326"/>
      <c r="H302" s="327" t="s">
        <v>33</v>
      </c>
      <c r="I302" s="328">
        <f ca="1">I314</f>
        <v>0</v>
      </c>
      <c r="J302" s="328">
        <f>J314</f>
        <v>0</v>
      </c>
      <c r="K302" s="329">
        <f ca="1">IF(I302&gt;0,J302*100/I302,0)</f>
        <v>0</v>
      </c>
      <c r="L302" s="330"/>
      <c r="M302" s="330"/>
      <c r="N302" s="330"/>
      <c r="O302" s="330"/>
      <c r="P302" s="330"/>
    </row>
    <row r="303" spans="1:16" ht="19.5" hidden="1" x14ac:dyDescent="0.3">
      <c r="A303" s="136"/>
      <c r="B303" s="41"/>
      <c r="C303" s="197" t="s">
        <v>16</v>
      </c>
      <c r="D303" s="397" t="s">
        <v>17</v>
      </c>
      <c r="E303" s="41"/>
      <c r="F303" s="41"/>
      <c r="G303" s="43"/>
      <c r="H303" s="139" t="s">
        <v>12</v>
      </c>
      <c r="I303" s="45"/>
      <c r="J303" s="45"/>
      <c r="K303" s="46"/>
      <c r="L303" s="140">
        <f ca="1">L304+L305</f>
        <v>0</v>
      </c>
      <c r="M303" s="140">
        <f ca="1">M304+M305</f>
        <v>0</v>
      </c>
      <c r="N303" s="140">
        <f ca="1">N304+N305</f>
        <v>0</v>
      </c>
      <c r="O303" s="140">
        <f ca="1">IF(L303&gt;0,N303*100/L303,0)</f>
        <v>0</v>
      </c>
      <c r="P303" s="140">
        <f ca="1">IF(M303&gt;0,N303*100/M303,0)</f>
        <v>0</v>
      </c>
    </row>
    <row r="304" spans="1:16" ht="18.75" hidden="1" x14ac:dyDescent="0.25">
      <c r="A304" s="136"/>
      <c r="B304" s="41"/>
      <c r="C304" s="41"/>
      <c r="D304" s="41"/>
      <c r="E304" s="279" t="s">
        <v>18</v>
      </c>
      <c r="F304" s="41"/>
      <c r="G304" s="43"/>
      <c r="H304" s="141" t="s">
        <v>12</v>
      </c>
      <c r="I304" s="45"/>
      <c r="J304" s="45"/>
      <c r="K304" s="46"/>
      <c r="L304" s="50">
        <f>L307+L310</f>
        <v>0</v>
      </c>
      <c r="M304" s="50">
        <f>M307+M310</f>
        <v>0</v>
      </c>
      <c r="N304" s="50">
        <f>N307+N310</f>
        <v>0</v>
      </c>
      <c r="O304" s="50">
        <f>IF(L304&gt;0,N304*100/L304,0)</f>
        <v>0</v>
      </c>
      <c r="P304" s="50">
        <f>IF(M304&gt;0,N304*100/M304,0)</f>
        <v>0</v>
      </c>
    </row>
    <row r="305" spans="1:16" ht="18.75" hidden="1" x14ac:dyDescent="0.25">
      <c r="A305" s="136"/>
      <c r="B305" s="41"/>
      <c r="C305" s="41"/>
      <c r="D305" s="41"/>
      <c r="E305" s="254" t="s">
        <v>19</v>
      </c>
      <c r="F305" s="41"/>
      <c r="G305" s="43"/>
      <c r="H305" s="142" t="s">
        <v>12</v>
      </c>
      <c r="I305" s="45"/>
      <c r="J305" s="45"/>
      <c r="K305" s="46"/>
      <c r="L305" s="47">
        <f ca="1">L308+L311</f>
        <v>0</v>
      </c>
      <c r="M305" s="47">
        <f ca="1">M308+M311</f>
        <v>0</v>
      </c>
      <c r="N305" s="47">
        <f ca="1">N308+N311</f>
        <v>0</v>
      </c>
      <c r="O305" s="47">
        <f ca="1">IF(L305&gt;0,N305*100/L305,0)</f>
        <v>0</v>
      </c>
      <c r="P305" s="47">
        <f ca="1">IF(M305&gt;0,N305*100/M305,0)</f>
        <v>0</v>
      </c>
    </row>
    <row r="306" spans="1:16" ht="18.75" hidden="1" x14ac:dyDescent="0.25">
      <c r="A306" s="136"/>
      <c r="B306" s="41"/>
      <c r="C306" s="41"/>
      <c r="D306" s="42" t="s">
        <v>20</v>
      </c>
      <c r="E306" s="41"/>
      <c r="F306" s="41"/>
      <c r="G306" s="43"/>
      <c r="H306" s="143" t="s">
        <v>12</v>
      </c>
      <c r="I306" s="144"/>
      <c r="J306" s="144"/>
      <c r="K306" s="145"/>
      <c r="L306" s="47">
        <f ca="1">L307+L308</f>
        <v>0</v>
      </c>
      <c r="M306" s="47">
        <f ca="1">M307+M308</f>
        <v>0</v>
      </c>
      <c r="N306" s="47">
        <f ca="1">N307+N308</f>
        <v>0</v>
      </c>
      <c r="O306" s="47">
        <f ca="1">IF(L306&gt;0,N306*100/L306,0)</f>
        <v>0</v>
      </c>
      <c r="P306" s="47">
        <f ca="1">IF(M306&gt;0,N306*100/M306,0)</f>
        <v>0</v>
      </c>
    </row>
    <row r="307" spans="1:16" ht="18.75" hidden="1" x14ac:dyDescent="0.25">
      <c r="A307" s="136"/>
      <c r="B307" s="41"/>
      <c r="C307" s="41"/>
      <c r="D307" s="41"/>
      <c r="E307" s="279" t="s">
        <v>34</v>
      </c>
      <c r="F307" s="41"/>
      <c r="G307" s="43"/>
      <c r="H307" s="146" t="s">
        <v>12</v>
      </c>
      <c r="I307" s="144"/>
      <c r="J307" s="144"/>
      <c r="K307" s="145"/>
      <c r="L307" s="50">
        <v>0</v>
      </c>
      <c r="M307" s="50">
        <v>0</v>
      </c>
      <c r="N307" s="50">
        <v>0</v>
      </c>
      <c r="O307" s="50">
        <f>IF(L307&gt;0,N307*100/L307,0)</f>
        <v>0</v>
      </c>
      <c r="P307" s="50">
        <f>IF(M307&gt;0,N307*100/M307,0)</f>
        <v>0</v>
      </c>
    </row>
    <row r="308" spans="1:16" ht="18.75" hidden="1" x14ac:dyDescent="0.25">
      <c r="A308" s="136"/>
      <c r="B308" s="41"/>
      <c r="C308" s="41"/>
      <c r="D308" s="41"/>
      <c r="E308" s="254" t="s">
        <v>35</v>
      </c>
      <c r="F308" s="41"/>
      <c r="G308" s="43"/>
      <c r="H308" s="143" t="s">
        <v>12</v>
      </c>
      <c r="I308" s="144"/>
      <c r="J308" s="144"/>
      <c r="K308" s="145"/>
      <c r="L308" s="47">
        <f ca="1">IFERROR(__xludf.DUMMYFUNCTION("IMPORTRANGE(""https://docs.google.com/spreadsheets/d/1-uDff_7J0KD5mKrp0Vvzr7lt3OU09vwQwhkpOPPYv2Y/edit?usp=sharing"",""งบพรบ!DY24"")"),0)</f>
        <v>0</v>
      </c>
      <c r="M308" s="47">
        <f ca="1">IFERROR(__xludf.DUMMYFUNCTION("IMPORTRANGE(""https://docs.google.com/spreadsheets/d/1-uDff_7J0KD5mKrp0Vvzr7lt3OU09vwQwhkpOPPYv2Y/edit?usp=sharing"",""งบพรบ!ED24"")"),0)</f>
        <v>0</v>
      </c>
      <c r="N308" s="47">
        <f ca="1">IFERROR(__xludf.DUMMYFUNCTION("IMPORTRANGE(""https://docs.google.com/spreadsheets/d/1-uDff_7J0KD5mKrp0Vvzr7lt3OU09vwQwhkpOPPYv2Y/edit?usp=sharing"",""งบพรบ!EF24"")"),0)</f>
        <v>0</v>
      </c>
      <c r="O308" s="47">
        <f ca="1">IF(L308&gt;0,N308*100/L308,0)</f>
        <v>0</v>
      </c>
      <c r="P308" s="47">
        <f ca="1">IF(M308&gt;0,N308*100/M308,0)</f>
        <v>0</v>
      </c>
    </row>
    <row r="309" spans="1:16" ht="18.75" hidden="1" x14ac:dyDescent="0.25">
      <c r="A309" s="136"/>
      <c r="B309" s="41"/>
      <c r="C309" s="41"/>
      <c r="D309" s="42" t="s">
        <v>21</v>
      </c>
      <c r="E309" s="41"/>
      <c r="F309" s="41"/>
      <c r="G309" s="43"/>
      <c r="H309" s="147" t="s">
        <v>12</v>
      </c>
      <c r="I309" s="144"/>
      <c r="J309" s="144"/>
      <c r="K309" s="145"/>
      <c r="L309" s="47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</row>
    <row r="310" spans="1:16" ht="18.75" hidden="1" x14ac:dyDescent="0.25">
      <c r="A310" s="136"/>
      <c r="B310" s="41"/>
      <c r="C310" s="41"/>
      <c r="D310" s="41"/>
      <c r="E310" s="279" t="s">
        <v>18</v>
      </c>
      <c r="F310" s="41"/>
      <c r="G310" s="43"/>
      <c r="H310" s="146" t="s">
        <v>12</v>
      </c>
      <c r="I310" s="144"/>
      <c r="J310" s="144"/>
      <c r="K310" s="145"/>
      <c r="L310" s="50">
        <v>0</v>
      </c>
      <c r="M310" s="50">
        <v>0</v>
      </c>
      <c r="N310" s="50">
        <v>0</v>
      </c>
      <c r="O310" s="50">
        <f>IF(L310&gt;0,N310*100/L310,0)</f>
        <v>0</v>
      </c>
      <c r="P310" s="50">
        <f>IF(M310&gt;0,N310*100/M310,0)</f>
        <v>0</v>
      </c>
    </row>
    <row r="311" spans="1:16" ht="18.75" hidden="1" x14ac:dyDescent="0.25">
      <c r="A311" s="136"/>
      <c r="B311" s="41"/>
      <c r="C311" s="41"/>
      <c r="D311" s="41"/>
      <c r="E311" s="254" t="s">
        <v>19</v>
      </c>
      <c r="F311" s="41"/>
      <c r="G311" s="43"/>
      <c r="H311" s="147" t="s">
        <v>12</v>
      </c>
      <c r="I311" s="144"/>
      <c r="J311" s="144"/>
      <c r="K311" s="145"/>
      <c r="L311" s="47">
        <f ca="1">IFERROR(__xludf.DUMMYFUNCTION("IMPORTRANGE(""https://docs.google.com/spreadsheets/d/1-uDff_7J0KD5mKrp0Vvzr7lt3OU09vwQwhkpOPPYv2Y/edit?usp=sharing"",""งบพรบ!EB24"")"),0)</f>
        <v>0</v>
      </c>
      <c r="M311" s="47">
        <f ca="1">IFERROR(__xludf.DUMMYFUNCTION("IMPORTRANGE(""https://docs.google.com/spreadsheets/d/1-uDff_7J0KD5mKrp0Vvzr7lt3OU09vwQwhkpOPPYv2Y/edit?usp=sharing"",""งบพรบ!EE24"")"),0)</f>
        <v>0</v>
      </c>
      <c r="N311" s="47">
        <f ca="1">IFERROR(__xludf.DUMMYFUNCTION("IMPORTRANGE(""https://docs.google.com/spreadsheets/d/1-uDff_7J0KD5mKrp0Vvzr7lt3OU09vwQwhkpOPPYv2Y/edit?usp=sharing"",""งบพรบ!EG24"")"),0)</f>
        <v>0</v>
      </c>
      <c r="O311" s="47">
        <f ca="1">IF(L311&gt;0,N311*100/L311,0)</f>
        <v>0</v>
      </c>
      <c r="P311" s="47">
        <f ca="1">IF(M311&gt;0,N311*100/M311,0)</f>
        <v>0</v>
      </c>
    </row>
    <row r="312" spans="1:16" ht="19.5" hidden="1" x14ac:dyDescent="0.3">
      <c r="A312" s="148"/>
      <c r="B312" s="149"/>
      <c r="C312" s="197" t="s">
        <v>16</v>
      </c>
      <c r="D312" s="395" t="s">
        <v>36</v>
      </c>
      <c r="E312" s="151"/>
      <c r="F312" s="151"/>
      <c r="G312" s="152"/>
      <c r="H312" s="153"/>
      <c r="I312" s="45"/>
      <c r="J312" s="45"/>
      <c r="K312" s="46"/>
      <c r="L312" s="46"/>
      <c r="M312" s="46"/>
      <c r="N312" s="46"/>
      <c r="O312" s="46"/>
      <c r="P312" s="46"/>
    </row>
    <row r="313" spans="1:16" ht="18.75" hidden="1" x14ac:dyDescent="0.25">
      <c r="A313" s="148"/>
      <c r="B313" s="149"/>
      <c r="C313" s="149"/>
      <c r="D313" s="159" t="s">
        <v>122</v>
      </c>
      <c r="E313" s="155"/>
      <c r="F313" s="155"/>
      <c r="G313" s="153"/>
      <c r="H313" s="153"/>
      <c r="I313" s="45"/>
      <c r="J313" s="250">
        <v>0</v>
      </c>
      <c r="K313" s="46"/>
      <c r="L313" s="46"/>
      <c r="M313" s="46"/>
      <c r="N313" s="46"/>
      <c r="O313" s="46"/>
      <c r="P313" s="46"/>
    </row>
    <row r="314" spans="1:16" ht="18.75" hidden="1" x14ac:dyDescent="0.25">
      <c r="A314" s="148"/>
      <c r="B314" s="149"/>
      <c r="C314" s="149"/>
      <c r="D314" s="159" t="s">
        <v>115</v>
      </c>
      <c r="E314" s="155"/>
      <c r="F314" s="155"/>
      <c r="G314" s="153"/>
      <c r="H314" s="251" t="s">
        <v>33</v>
      </c>
      <c r="I314" s="169">
        <f ca="1">IFERROR(__xludf.DUMMYFUNCTION("IMPORTRANGE(""https://docs.google.com/spreadsheets/d/1eHaY18a8A9IcSdp1K8H6x8fbOy06t2VsZHhMHf-1x7Y/edit?usp=sharing"",""แผน!EF24"")"),0)</f>
        <v>0</v>
      </c>
      <c r="J314" s="250">
        <v>0</v>
      </c>
      <c r="K314" s="47">
        <f ca="1">IF(I314&gt;0,J314*100/I314,0)</f>
        <v>0</v>
      </c>
      <c r="L314" s="46"/>
      <c r="M314" s="46"/>
      <c r="N314" s="46"/>
      <c r="O314" s="46"/>
      <c r="P314" s="46"/>
    </row>
    <row r="315" spans="1:16" ht="18.75" hidden="1" x14ac:dyDescent="0.25">
      <c r="A315" s="148"/>
      <c r="B315" s="149"/>
      <c r="C315" s="149"/>
      <c r="D315" s="159" t="s">
        <v>123</v>
      </c>
      <c r="E315" s="155"/>
      <c r="F315" s="155"/>
      <c r="G315" s="153"/>
      <c r="H315" s="251" t="s">
        <v>33</v>
      </c>
      <c r="I315" s="169">
        <f ca="1">IFERROR(__xludf.DUMMYFUNCTION("IMPORTRANGE(""https://docs.google.com/spreadsheets/d/1eHaY18a8A9IcSdp1K8H6x8fbOy06t2VsZHhMHf-1x7Y/edit?usp=sharing"",""แผน!EG24"")"),0)</f>
        <v>0</v>
      </c>
      <c r="J315" s="250">
        <v>0</v>
      </c>
      <c r="K315" s="47">
        <f ca="1">IF(I315&gt;0,J315*100/I315,0)</f>
        <v>0</v>
      </c>
      <c r="L315" s="46"/>
      <c r="M315" s="46"/>
      <c r="N315" s="46"/>
      <c r="O315" s="46"/>
      <c r="P315" s="46"/>
    </row>
    <row r="316" spans="1:16" ht="18.75" hidden="1" x14ac:dyDescent="0.25">
      <c r="A316" s="148"/>
      <c r="B316" s="149"/>
      <c r="C316" s="149"/>
      <c r="D316" s="159" t="s">
        <v>48</v>
      </c>
      <c r="E316" s="155"/>
      <c r="F316" s="155"/>
      <c r="G316" s="153"/>
      <c r="H316" s="251" t="s">
        <v>33</v>
      </c>
      <c r="I316" s="169">
        <f ca="1">IFERROR(__xludf.DUMMYFUNCTION("IMPORTRANGE(""https://docs.google.com/spreadsheets/d/1eHaY18a8A9IcSdp1K8H6x8fbOy06t2VsZHhMHf-1x7Y/edit?usp=sharing"",""แผน!EH24"")"),0)</f>
        <v>0</v>
      </c>
      <c r="J316" s="250">
        <v>0</v>
      </c>
      <c r="K316" s="47">
        <f ca="1">IF(I316&gt;0,J316*100/I316,0)</f>
        <v>0</v>
      </c>
      <c r="L316" s="46"/>
      <c r="M316" s="46"/>
      <c r="N316" s="46"/>
      <c r="O316" s="46"/>
      <c r="P316" s="46"/>
    </row>
    <row r="317" spans="1:16" ht="18.75" hidden="1" x14ac:dyDescent="0.25">
      <c r="A317" s="227"/>
      <c r="B317" s="228"/>
      <c r="C317" s="228"/>
      <c r="D317" s="279" t="s">
        <v>124</v>
      </c>
      <c r="E317" s="41"/>
      <c r="F317" s="41"/>
      <c r="G317" s="43"/>
      <c r="H317" s="49" t="s">
        <v>33</v>
      </c>
      <c r="I317" s="200">
        <f ca="1">IFERROR(__xludf.DUMMYFUNCTION("IMPORTRANGE(""https://docs.google.com/spreadsheets/d/1eHaY18a8A9IcSdp1K8H6x8fbOy06t2VsZHhMHf-1x7Y/edit?usp=sharing"",""แผน!EI24"")"),0)</f>
        <v>0</v>
      </c>
      <c r="J317" s="200">
        <v>0</v>
      </c>
      <c r="K317" s="50">
        <f ca="1">IF(I317&gt;0,J317*100/I317,0)</f>
        <v>0</v>
      </c>
      <c r="L317" s="46"/>
      <c r="M317" s="46"/>
      <c r="N317" s="46"/>
      <c r="O317" s="46"/>
      <c r="P317" s="46"/>
    </row>
    <row r="318" spans="1:16" ht="19.5" hidden="1" x14ac:dyDescent="0.3">
      <c r="A318" s="317" t="s">
        <v>125</v>
      </c>
      <c r="B318" s="318"/>
      <c r="C318" s="318"/>
      <c r="D318" s="319"/>
      <c r="E318" s="318"/>
      <c r="F318" s="318"/>
      <c r="G318" s="318"/>
      <c r="H318" s="319"/>
      <c r="I318" s="321"/>
      <c r="J318" s="321"/>
      <c r="K318" s="322"/>
      <c r="L318" s="322"/>
      <c r="M318" s="322"/>
      <c r="N318" s="322"/>
      <c r="O318" s="322"/>
      <c r="P318" s="322"/>
    </row>
    <row r="319" spans="1:16" ht="19.5" hidden="1" x14ac:dyDescent="0.3">
      <c r="A319" s="331"/>
      <c r="B319" s="324" t="s">
        <v>126</v>
      </c>
      <c r="C319" s="332"/>
      <c r="D319" s="333"/>
      <c r="E319" s="325"/>
      <c r="F319" s="325"/>
      <c r="G319" s="326"/>
      <c r="H319" s="327" t="s">
        <v>127</v>
      </c>
      <c r="I319" s="328">
        <f ca="1">I330</f>
        <v>0</v>
      </c>
      <c r="J319" s="328">
        <f>J330</f>
        <v>0</v>
      </c>
      <c r="K319" s="329">
        <f ca="1">IF(I319&gt;0,J319*100/I319,0)</f>
        <v>0</v>
      </c>
      <c r="L319" s="330"/>
      <c r="M319" s="330"/>
      <c r="N319" s="330"/>
      <c r="O319" s="330"/>
      <c r="P319" s="330"/>
    </row>
    <row r="320" spans="1:16" ht="19.5" hidden="1" x14ac:dyDescent="0.3">
      <c r="A320" s="136"/>
      <c r="B320" s="41"/>
      <c r="C320" s="197" t="s">
        <v>16</v>
      </c>
      <c r="D320" s="397" t="s">
        <v>17</v>
      </c>
      <c r="E320" s="41"/>
      <c r="F320" s="41"/>
      <c r="G320" s="43"/>
      <c r="H320" s="139" t="s">
        <v>12</v>
      </c>
      <c r="I320" s="45"/>
      <c r="J320" s="45"/>
      <c r="K320" s="46"/>
      <c r="L320" s="140">
        <f ca="1">L321+L322</f>
        <v>0</v>
      </c>
      <c r="M320" s="140">
        <f ca="1">M321+M322</f>
        <v>0</v>
      </c>
      <c r="N320" s="140">
        <f ca="1">N321+N322</f>
        <v>0</v>
      </c>
      <c r="O320" s="140">
        <f ca="1">IF(L320&gt;0,N320*100/L320,0)</f>
        <v>0</v>
      </c>
      <c r="P320" s="140">
        <f ca="1">IF(M320&gt;0,N320*100/M320,0)</f>
        <v>0</v>
      </c>
    </row>
    <row r="321" spans="1:16" ht="18.75" hidden="1" x14ac:dyDescent="0.25">
      <c r="A321" s="136"/>
      <c r="B321" s="41"/>
      <c r="C321" s="41"/>
      <c r="D321" s="41"/>
      <c r="E321" s="279" t="s">
        <v>18</v>
      </c>
      <c r="F321" s="41"/>
      <c r="G321" s="43"/>
      <c r="H321" s="141" t="s">
        <v>12</v>
      </c>
      <c r="I321" s="45"/>
      <c r="J321" s="45"/>
      <c r="K321" s="46"/>
      <c r="L321" s="50">
        <f>L324+L327</f>
        <v>0</v>
      </c>
      <c r="M321" s="50">
        <f>M324+M327</f>
        <v>0</v>
      </c>
      <c r="N321" s="50">
        <f>N324+N327</f>
        <v>0</v>
      </c>
      <c r="O321" s="50">
        <f>IF(L321&gt;0,N321*100/L321,0)</f>
        <v>0</v>
      </c>
      <c r="P321" s="50">
        <f>IF(M321&gt;0,N321*100/M321,0)</f>
        <v>0</v>
      </c>
    </row>
    <row r="322" spans="1:16" ht="18.75" hidden="1" x14ac:dyDescent="0.25">
      <c r="A322" s="136"/>
      <c r="B322" s="41"/>
      <c r="C322" s="41"/>
      <c r="D322" s="41"/>
      <c r="E322" s="254" t="s">
        <v>19</v>
      </c>
      <c r="F322" s="41"/>
      <c r="G322" s="43"/>
      <c r="H322" s="142" t="s">
        <v>12</v>
      </c>
      <c r="I322" s="45"/>
      <c r="J322" s="45"/>
      <c r="K322" s="46"/>
      <c r="L322" s="47">
        <f ca="1">L325+L328</f>
        <v>0</v>
      </c>
      <c r="M322" s="47">
        <f ca="1">M325+M328</f>
        <v>0</v>
      </c>
      <c r="N322" s="47">
        <f ca="1">N325+N328</f>
        <v>0</v>
      </c>
      <c r="O322" s="47">
        <f ca="1">IF(L322&gt;0,N322*100/L322,0)</f>
        <v>0</v>
      </c>
      <c r="P322" s="47">
        <f ca="1">IF(M322&gt;0,N322*100/M322,0)</f>
        <v>0</v>
      </c>
    </row>
    <row r="323" spans="1:16" ht="18.75" hidden="1" x14ac:dyDescent="0.25">
      <c r="A323" s="136"/>
      <c r="B323" s="41"/>
      <c r="C323" s="41"/>
      <c r="D323" s="42" t="s">
        <v>20</v>
      </c>
      <c r="E323" s="41"/>
      <c r="F323" s="41"/>
      <c r="G323" s="43"/>
      <c r="H323" s="143" t="s">
        <v>12</v>
      </c>
      <c r="I323" s="144"/>
      <c r="J323" s="144"/>
      <c r="K323" s="145"/>
      <c r="L323" s="47">
        <f ca="1">L324+L325</f>
        <v>0</v>
      </c>
      <c r="M323" s="47">
        <f ca="1">M324+M325</f>
        <v>0</v>
      </c>
      <c r="N323" s="47">
        <f ca="1">N324+N325</f>
        <v>0</v>
      </c>
      <c r="O323" s="47">
        <f ca="1">IF(L323&gt;0,N323*100/L323,0)</f>
        <v>0</v>
      </c>
      <c r="P323" s="47">
        <f ca="1">IF(M323&gt;0,N323*100/M323,0)</f>
        <v>0</v>
      </c>
    </row>
    <row r="324" spans="1:16" ht="18.75" hidden="1" x14ac:dyDescent="0.25">
      <c r="A324" s="136"/>
      <c r="B324" s="41"/>
      <c r="C324" s="41"/>
      <c r="D324" s="41"/>
      <c r="E324" s="279" t="s">
        <v>34</v>
      </c>
      <c r="F324" s="41"/>
      <c r="G324" s="43"/>
      <c r="H324" s="146" t="s">
        <v>12</v>
      </c>
      <c r="I324" s="144"/>
      <c r="J324" s="144"/>
      <c r="K324" s="145"/>
      <c r="L324" s="50">
        <v>0</v>
      </c>
      <c r="M324" s="50">
        <v>0</v>
      </c>
      <c r="N324" s="50">
        <v>0</v>
      </c>
      <c r="O324" s="50">
        <f>IF(L324&gt;0,N324*100/L324,0)</f>
        <v>0</v>
      </c>
      <c r="P324" s="50">
        <f>IF(M324&gt;0,N324*100/M324,0)</f>
        <v>0</v>
      </c>
    </row>
    <row r="325" spans="1:16" ht="18.75" hidden="1" x14ac:dyDescent="0.25">
      <c r="A325" s="136"/>
      <c r="B325" s="41"/>
      <c r="C325" s="41"/>
      <c r="D325" s="41"/>
      <c r="E325" s="254" t="s">
        <v>35</v>
      </c>
      <c r="F325" s="41"/>
      <c r="G325" s="43"/>
      <c r="H325" s="143" t="s">
        <v>12</v>
      </c>
      <c r="I325" s="144"/>
      <c r="J325" s="144"/>
      <c r="K325" s="145"/>
      <c r="L325" s="47">
        <f ca="1">IFERROR(__xludf.DUMMYFUNCTION("IMPORTRANGE(""https://docs.google.com/spreadsheets/d/1-uDff_7J0KD5mKrp0Vvzr7lt3OU09vwQwhkpOPPYv2Y/edit?usp=sharing"",""งบพรบ!EI24"")"),0)</f>
        <v>0</v>
      </c>
      <c r="M325" s="47">
        <f ca="1">IFERROR(__xludf.DUMMYFUNCTION("IMPORTRANGE(""https://docs.google.com/spreadsheets/d/1-uDff_7J0KD5mKrp0Vvzr7lt3OU09vwQwhkpOPPYv2Y/edit?usp=sharing"",""งบพรบ!EN24"")"),0)</f>
        <v>0</v>
      </c>
      <c r="N325" s="47">
        <f ca="1">IFERROR(__xludf.DUMMYFUNCTION("IMPORTRANGE(""https://docs.google.com/spreadsheets/d/1-uDff_7J0KD5mKrp0Vvzr7lt3OU09vwQwhkpOPPYv2Y/edit?usp=sharing"",""งบพรบ!EP24"")"),0)</f>
        <v>0</v>
      </c>
      <c r="O325" s="47">
        <f ca="1">IF(L325&gt;0,N325*100/L325,0)</f>
        <v>0</v>
      </c>
      <c r="P325" s="47">
        <f ca="1">IF(M325&gt;0,N325*100/M325,0)</f>
        <v>0</v>
      </c>
    </row>
    <row r="326" spans="1:16" ht="18.75" hidden="1" x14ac:dyDescent="0.25">
      <c r="A326" s="136"/>
      <c r="B326" s="41"/>
      <c r="C326" s="41"/>
      <c r="D326" s="42" t="s">
        <v>21</v>
      </c>
      <c r="E326" s="41"/>
      <c r="F326" s="41"/>
      <c r="G326" s="43"/>
      <c r="H326" s="147" t="s">
        <v>12</v>
      </c>
      <c r="I326" s="144"/>
      <c r="J326" s="144"/>
      <c r="K326" s="145"/>
      <c r="L326" s="47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</row>
    <row r="327" spans="1:16" ht="18.75" hidden="1" x14ac:dyDescent="0.25">
      <c r="A327" s="136"/>
      <c r="B327" s="41"/>
      <c r="C327" s="41"/>
      <c r="D327" s="41"/>
      <c r="E327" s="279" t="s">
        <v>18</v>
      </c>
      <c r="F327" s="41"/>
      <c r="G327" s="43"/>
      <c r="H327" s="146" t="s">
        <v>12</v>
      </c>
      <c r="I327" s="144"/>
      <c r="J327" s="144"/>
      <c r="K327" s="145"/>
      <c r="L327" s="50">
        <v>0</v>
      </c>
      <c r="M327" s="50">
        <v>0</v>
      </c>
      <c r="N327" s="50">
        <v>0</v>
      </c>
      <c r="O327" s="50">
        <f>IF(L327&gt;0,N327*100/L327,0)</f>
        <v>0</v>
      </c>
      <c r="P327" s="50">
        <f>IF(M327&gt;0,N327*100/M327,0)</f>
        <v>0</v>
      </c>
    </row>
    <row r="328" spans="1:16" ht="18.75" hidden="1" x14ac:dyDescent="0.25">
      <c r="A328" s="136"/>
      <c r="B328" s="41"/>
      <c r="C328" s="41"/>
      <c r="D328" s="41"/>
      <c r="E328" s="254" t="s">
        <v>19</v>
      </c>
      <c r="F328" s="41"/>
      <c r="G328" s="43"/>
      <c r="H328" s="147" t="s">
        <v>12</v>
      </c>
      <c r="I328" s="144"/>
      <c r="J328" s="144"/>
      <c r="K328" s="145"/>
      <c r="L328" s="47">
        <f ca="1">IFERROR(__xludf.DUMMYFUNCTION("IMPORTRANGE(""https://docs.google.com/spreadsheets/d/1-uDff_7J0KD5mKrp0Vvzr7lt3OU09vwQwhkpOPPYv2Y/edit?usp=sharing"",""งบพรบ!EL24"")"),0)</f>
        <v>0</v>
      </c>
      <c r="M328" s="47">
        <f ca="1">IFERROR(__xludf.DUMMYFUNCTION("IMPORTRANGE(""https://docs.google.com/spreadsheets/d/1-uDff_7J0KD5mKrp0Vvzr7lt3OU09vwQwhkpOPPYv2Y/edit?usp=sharing"",""งบพรบ!EO24"")"),0)</f>
        <v>0</v>
      </c>
      <c r="N328" s="47">
        <f ca="1">IFERROR(__xludf.DUMMYFUNCTION("IMPORTRANGE(""https://docs.google.com/spreadsheets/d/1-uDff_7J0KD5mKrp0Vvzr7lt3OU09vwQwhkpOPPYv2Y/edit?usp=sharing"",""งบพรบ!EQ24"")"),0)</f>
        <v>0</v>
      </c>
      <c r="O328" s="47">
        <f ca="1">IF(L328&gt;0,N328*100/L328,0)</f>
        <v>0</v>
      </c>
      <c r="P328" s="47">
        <f ca="1">IF(M328&gt;0,N328*100/M328,0)</f>
        <v>0</v>
      </c>
    </row>
    <row r="329" spans="1:16" ht="19.5" hidden="1" x14ac:dyDescent="0.3">
      <c r="A329" s="148"/>
      <c r="B329" s="149"/>
      <c r="C329" s="197" t="s">
        <v>16</v>
      </c>
      <c r="D329" s="395" t="s">
        <v>36</v>
      </c>
      <c r="E329" s="151"/>
      <c r="F329" s="151"/>
      <c r="G329" s="152"/>
      <c r="H329" s="153"/>
      <c r="I329" s="144"/>
      <c r="J329" s="45"/>
      <c r="K329" s="46"/>
      <c r="L329" s="46"/>
      <c r="M329" s="46"/>
      <c r="N329" s="46"/>
      <c r="O329" s="145"/>
      <c r="P329" s="145"/>
    </row>
    <row r="330" spans="1:16" ht="18.75" hidden="1" x14ac:dyDescent="0.25">
      <c r="A330" s="148"/>
      <c r="B330" s="149"/>
      <c r="C330" s="149"/>
      <c r="D330" s="154" t="s">
        <v>128</v>
      </c>
      <c r="E330" s="155"/>
      <c r="F330" s="155"/>
      <c r="G330" s="153"/>
      <c r="H330" s="44" t="s">
        <v>127</v>
      </c>
      <c r="I330" s="169">
        <f ca="1">IFERROR(__xludf.DUMMYFUNCTION("IMPORTRANGE(""https://docs.google.com/spreadsheets/d/1eHaY18a8A9IcSdp1K8H6x8fbOy06t2VsZHhMHf-1x7Y/edit?usp=sharing"",""แผน!EJ24"")"),0)</f>
        <v>0</v>
      </c>
      <c r="J330" s="250">
        <v>0</v>
      </c>
      <c r="K330" s="47">
        <f ca="1">IF(I330&gt;0,J330*100/I330,0)</f>
        <v>0</v>
      </c>
      <c r="L330" s="46"/>
      <c r="M330" s="46"/>
      <c r="N330" s="46"/>
      <c r="O330" s="145"/>
      <c r="P330" s="145"/>
    </row>
    <row r="331" spans="1:16" ht="19.5" x14ac:dyDescent="0.3">
      <c r="A331" s="317" t="s">
        <v>129</v>
      </c>
      <c r="B331" s="318"/>
      <c r="C331" s="318"/>
      <c r="D331" s="319"/>
      <c r="E331" s="318"/>
      <c r="F331" s="318"/>
      <c r="G331" s="318"/>
      <c r="H331" s="319"/>
      <c r="I331" s="321"/>
      <c r="J331" s="321"/>
      <c r="K331" s="322"/>
      <c r="L331" s="322"/>
      <c r="M331" s="322"/>
      <c r="N331" s="322"/>
      <c r="O331" s="322"/>
      <c r="P331" s="322"/>
    </row>
    <row r="332" spans="1:16" ht="19.5" x14ac:dyDescent="0.3">
      <c r="A332" s="323"/>
      <c r="B332" s="324" t="s">
        <v>130</v>
      </c>
      <c r="C332" s="333"/>
      <c r="D332" s="325"/>
      <c r="E332" s="325"/>
      <c r="F332" s="325"/>
      <c r="G332" s="326"/>
      <c r="H332" s="327" t="s">
        <v>33</v>
      </c>
      <c r="I332" s="334">
        <f ca="1">I344</f>
        <v>1140</v>
      </c>
      <c r="J332" s="335">
        <f ca="1">J344+J347+J348+J349+J353</f>
        <v>851</v>
      </c>
      <c r="K332" s="336">
        <f ca="1">IF(I332&gt;0,J332*100/I332,0)</f>
        <v>74.649122807017548</v>
      </c>
      <c r="L332" s="330"/>
      <c r="M332" s="330"/>
      <c r="N332" s="330"/>
      <c r="O332" s="330"/>
      <c r="P332" s="330"/>
    </row>
    <row r="333" spans="1:16" ht="19.5" x14ac:dyDescent="0.3">
      <c r="A333" s="136"/>
      <c r="B333" s="41"/>
      <c r="C333" s="197" t="s">
        <v>16</v>
      </c>
      <c r="D333" s="397" t="s">
        <v>17</v>
      </c>
      <c r="E333" s="41"/>
      <c r="F333" s="41"/>
      <c r="G333" s="43"/>
      <c r="H333" s="139" t="s">
        <v>12</v>
      </c>
      <c r="I333" s="45"/>
      <c r="J333" s="45"/>
      <c r="K333" s="46"/>
      <c r="L333" s="140">
        <f ca="1">L334+L335</f>
        <v>108000</v>
      </c>
      <c r="M333" s="140">
        <f ca="1">M334+M335</f>
        <v>85750</v>
      </c>
      <c r="N333" s="140">
        <f ca="1">N334+N335</f>
        <v>13500</v>
      </c>
      <c r="O333" s="140">
        <f ca="1">IF(L333&gt;0,N333*100/L333,0)</f>
        <v>12.5</v>
      </c>
      <c r="P333" s="140">
        <f ca="1">IF(M333&gt;0,N333*100/M333,0)</f>
        <v>15.743440233236152</v>
      </c>
    </row>
    <row r="334" spans="1:16" ht="18.75" hidden="1" x14ac:dyDescent="0.25">
      <c r="A334" s="136"/>
      <c r="B334" s="41"/>
      <c r="C334" s="41"/>
      <c r="D334" s="41"/>
      <c r="E334" s="279" t="s">
        <v>18</v>
      </c>
      <c r="F334" s="41"/>
      <c r="G334" s="43"/>
      <c r="H334" s="141" t="s">
        <v>12</v>
      </c>
      <c r="I334" s="45"/>
      <c r="J334" s="45"/>
      <c r="K334" s="46"/>
      <c r="L334" s="50">
        <f>L337+L340</f>
        <v>0</v>
      </c>
      <c r="M334" s="50">
        <f>M337+M340</f>
        <v>0</v>
      </c>
      <c r="N334" s="50">
        <f>N337+N340</f>
        <v>0</v>
      </c>
      <c r="O334" s="50">
        <f>IF(L334&gt;0,N334*100/L334,0)</f>
        <v>0</v>
      </c>
      <c r="P334" s="50">
        <f>IF(M334&gt;0,N334*100/M334,0)</f>
        <v>0</v>
      </c>
    </row>
    <row r="335" spans="1:16" ht="18.75" x14ac:dyDescent="0.25">
      <c r="A335" s="136"/>
      <c r="B335" s="41"/>
      <c r="C335" s="41"/>
      <c r="D335" s="41"/>
      <c r="E335" s="254" t="s">
        <v>19</v>
      </c>
      <c r="F335" s="41"/>
      <c r="G335" s="43"/>
      <c r="H335" s="142" t="s">
        <v>12</v>
      </c>
      <c r="I335" s="45"/>
      <c r="J335" s="45"/>
      <c r="K335" s="46"/>
      <c r="L335" s="47">
        <f ca="1">L338+L341</f>
        <v>108000</v>
      </c>
      <c r="M335" s="47">
        <f ca="1">M338+M341</f>
        <v>85750</v>
      </c>
      <c r="N335" s="47">
        <f ca="1">N338+N341</f>
        <v>13500</v>
      </c>
      <c r="O335" s="47">
        <f ca="1">IF(L335&gt;0,N335*100/L335,0)</f>
        <v>12.5</v>
      </c>
      <c r="P335" s="47">
        <f ca="1">IF(M335&gt;0,N335*100/M335,0)</f>
        <v>15.743440233236152</v>
      </c>
    </row>
    <row r="336" spans="1:16" ht="18.75" x14ac:dyDescent="0.25">
      <c r="A336" s="136"/>
      <c r="B336" s="41"/>
      <c r="C336" s="41"/>
      <c r="D336" s="42" t="s">
        <v>20</v>
      </c>
      <c r="E336" s="41"/>
      <c r="F336" s="41"/>
      <c r="G336" s="43"/>
      <c r="H336" s="143" t="s">
        <v>12</v>
      </c>
      <c r="I336" s="144"/>
      <c r="J336" s="144"/>
      <c r="K336" s="145"/>
      <c r="L336" s="47">
        <f ca="1">L337+L338</f>
        <v>108000</v>
      </c>
      <c r="M336" s="47">
        <f ca="1">M337+M338</f>
        <v>85750</v>
      </c>
      <c r="N336" s="47">
        <f ca="1">N337+N338</f>
        <v>13500</v>
      </c>
      <c r="O336" s="47">
        <f ca="1">IF(L336&gt;0,N336*100/L336,0)</f>
        <v>12.5</v>
      </c>
      <c r="P336" s="47">
        <f ca="1">IF(M336&gt;0,N336*100/M336,0)</f>
        <v>15.743440233236152</v>
      </c>
    </row>
    <row r="337" spans="1:16" ht="18.75" hidden="1" x14ac:dyDescent="0.25">
      <c r="A337" s="136"/>
      <c r="B337" s="41"/>
      <c r="C337" s="41"/>
      <c r="D337" s="41"/>
      <c r="E337" s="279" t="s">
        <v>34</v>
      </c>
      <c r="F337" s="41"/>
      <c r="G337" s="43"/>
      <c r="H337" s="146" t="s">
        <v>12</v>
      </c>
      <c r="I337" s="144"/>
      <c r="J337" s="144"/>
      <c r="K337" s="145"/>
      <c r="L337" s="50">
        <v>0</v>
      </c>
      <c r="M337" s="50">
        <v>0</v>
      </c>
      <c r="N337" s="50">
        <v>0</v>
      </c>
      <c r="O337" s="50">
        <f>IF(L337&gt;0,N337*100/L337,0)</f>
        <v>0</v>
      </c>
      <c r="P337" s="50">
        <f>IF(M337&gt;0,N337*100/M337,0)</f>
        <v>0</v>
      </c>
    </row>
    <row r="338" spans="1:16" ht="18.75" x14ac:dyDescent="0.25">
      <c r="A338" s="136"/>
      <c r="B338" s="41"/>
      <c r="C338" s="41"/>
      <c r="D338" s="41"/>
      <c r="E338" s="254" t="s">
        <v>35</v>
      </c>
      <c r="F338" s="41"/>
      <c r="G338" s="43"/>
      <c r="H338" s="143" t="s">
        <v>12</v>
      </c>
      <c r="I338" s="144"/>
      <c r="J338" s="144"/>
      <c r="K338" s="145"/>
      <c r="L338" s="47">
        <f ca="1">IFERROR(__xludf.DUMMYFUNCTION("IMPORTRANGE(""https://docs.google.com/spreadsheets/d/1-uDff_7J0KD5mKrp0Vvzr7lt3OU09vwQwhkpOPPYv2Y/edit?usp=sharing"",""งบพรบ!ES24"")"),108000)</f>
        <v>108000</v>
      </c>
      <c r="M338" s="47">
        <f ca="1">IFERROR(__xludf.DUMMYFUNCTION("IMPORTRANGE(""https://docs.google.com/spreadsheets/d/1-uDff_7J0KD5mKrp0Vvzr7lt3OU09vwQwhkpOPPYv2Y/edit?usp=sharing"",""งบพรบ!EX24"")"),85750)</f>
        <v>85750</v>
      </c>
      <c r="N338" s="47">
        <f ca="1">IFERROR(__xludf.DUMMYFUNCTION("IMPORTRANGE(""https://docs.google.com/spreadsheets/d/1-uDff_7J0KD5mKrp0Vvzr7lt3OU09vwQwhkpOPPYv2Y/edit?usp=sharing"",""งบพรบ!EZ24"")"),13500)</f>
        <v>13500</v>
      </c>
      <c r="O338" s="47">
        <f ca="1">IF(L338&gt;0,N338*100/L338,0)</f>
        <v>12.5</v>
      </c>
      <c r="P338" s="47">
        <f ca="1">IF(M338&gt;0,N338*100/M338,0)</f>
        <v>15.743440233236152</v>
      </c>
    </row>
    <row r="339" spans="1:16" ht="18.75" x14ac:dyDescent="0.25">
      <c r="A339" s="136"/>
      <c r="B339" s="41"/>
      <c r="C339" s="41"/>
      <c r="D339" s="42" t="s">
        <v>21</v>
      </c>
      <c r="E339" s="41"/>
      <c r="F339" s="41"/>
      <c r="G339" s="43"/>
      <c r="H339" s="147" t="s">
        <v>12</v>
      </c>
      <c r="I339" s="144"/>
      <c r="J339" s="144"/>
      <c r="K339" s="145"/>
      <c r="L339" s="47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</row>
    <row r="340" spans="1:16" ht="18.75" hidden="1" x14ac:dyDescent="0.25">
      <c r="A340" s="136"/>
      <c r="B340" s="41"/>
      <c r="C340" s="41"/>
      <c r="D340" s="41"/>
      <c r="E340" s="279" t="s">
        <v>18</v>
      </c>
      <c r="F340" s="41"/>
      <c r="G340" s="43"/>
      <c r="H340" s="146" t="s">
        <v>12</v>
      </c>
      <c r="I340" s="144"/>
      <c r="J340" s="144"/>
      <c r="K340" s="145"/>
      <c r="L340" s="50">
        <v>0</v>
      </c>
      <c r="M340" s="50">
        <v>0</v>
      </c>
      <c r="N340" s="50">
        <v>0</v>
      </c>
      <c r="O340" s="50">
        <f>IF(L340&gt;0,N340*100/L340,0)</f>
        <v>0</v>
      </c>
      <c r="P340" s="50">
        <f>IF(M340&gt;0,N340*100/M340,0)</f>
        <v>0</v>
      </c>
    </row>
    <row r="341" spans="1:16" ht="18.75" x14ac:dyDescent="0.25">
      <c r="A341" s="136"/>
      <c r="B341" s="41"/>
      <c r="C341" s="41"/>
      <c r="D341" s="41"/>
      <c r="E341" s="254" t="s">
        <v>19</v>
      </c>
      <c r="F341" s="41"/>
      <c r="G341" s="43"/>
      <c r="H341" s="147" t="s">
        <v>12</v>
      </c>
      <c r="I341" s="144"/>
      <c r="J341" s="144"/>
      <c r="K341" s="145"/>
      <c r="L341" s="47">
        <f ca="1">IFERROR(__xludf.DUMMYFUNCTION("IMPORTRANGE(""https://docs.google.com/spreadsheets/d/1-uDff_7J0KD5mKrp0Vvzr7lt3OU09vwQwhkpOPPYv2Y/edit?usp=sharing"",""งบพรบ!EV24"")"),0)</f>
        <v>0</v>
      </c>
      <c r="M341" s="47">
        <f ca="1">IFERROR(__xludf.DUMMYFUNCTION("IMPORTRANGE(""https://docs.google.com/spreadsheets/d/1-uDff_7J0KD5mKrp0Vvzr7lt3OU09vwQwhkpOPPYv2Y/edit?usp=sharing"",""งบพรบ!EY24"")"),0)</f>
        <v>0</v>
      </c>
      <c r="N341" s="47">
        <f ca="1">IFERROR(__xludf.DUMMYFUNCTION("IMPORTRANGE(""https://docs.google.com/spreadsheets/d/1-uDff_7J0KD5mKrp0Vvzr7lt3OU09vwQwhkpOPPYv2Y/edit?usp=sharing"",""งบพรบ!FA24"")"),0)</f>
        <v>0</v>
      </c>
      <c r="O341" s="47">
        <f ca="1">IF(L341&gt;0,N341*100/L341,0)</f>
        <v>0</v>
      </c>
      <c r="P341" s="47">
        <f ca="1">IF(M341&gt;0,N341*100/M341,0)</f>
        <v>0</v>
      </c>
    </row>
    <row r="342" spans="1:16" ht="19.5" x14ac:dyDescent="0.3">
      <c r="A342" s="148"/>
      <c r="B342" s="149"/>
      <c r="C342" s="197" t="s">
        <v>16</v>
      </c>
      <c r="D342" s="221" t="s">
        <v>36</v>
      </c>
      <c r="E342" s="151"/>
      <c r="F342" s="151"/>
      <c r="G342" s="152"/>
      <c r="H342" s="43"/>
      <c r="I342" s="45"/>
      <c r="J342" s="45"/>
      <c r="K342" s="46"/>
      <c r="L342" s="46"/>
      <c r="M342" s="46"/>
      <c r="N342" s="46"/>
      <c r="O342" s="145"/>
      <c r="P342" s="145"/>
    </row>
    <row r="343" spans="1:16" ht="19.5" x14ac:dyDescent="0.3">
      <c r="A343" s="337"/>
      <c r="B343" s="338"/>
      <c r="C343" s="339"/>
      <c r="D343" s="338"/>
      <c r="E343" s="398" t="s">
        <v>131</v>
      </c>
      <c r="F343" s="338"/>
      <c r="G343" s="341"/>
      <c r="H343" s="342" t="s">
        <v>33</v>
      </c>
      <c r="I343" s="343">
        <v>0</v>
      </c>
      <c r="J343" s="343">
        <f ca="1">J344+J347+J348+J349</f>
        <v>177</v>
      </c>
      <c r="K343" s="344">
        <v>0</v>
      </c>
      <c r="L343" s="345"/>
      <c r="M343" s="345"/>
      <c r="N343" s="345"/>
      <c r="O343" s="345"/>
      <c r="P343" s="345"/>
    </row>
    <row r="344" spans="1:16" ht="18.75" x14ac:dyDescent="0.25">
      <c r="A344" s="227"/>
      <c r="B344" s="41"/>
      <c r="C344" s="228"/>
      <c r="D344" s="155"/>
      <c r="E344" s="159" t="s">
        <v>132</v>
      </c>
      <c r="F344" s="41"/>
      <c r="G344" s="43"/>
      <c r="H344" s="230" t="s">
        <v>33</v>
      </c>
      <c r="I344" s="169">
        <f ca="1">IFERROR(__xludf.DUMMYFUNCTION("IMPORTRANGE(""https://docs.google.com/spreadsheets/d/1eHaY18a8A9IcSdp1K8H6x8fbOy06t2VsZHhMHf-1x7Y/edit?usp=sharing"",""แผน!EK24"")"),1140)</f>
        <v>1140</v>
      </c>
      <c r="J344" s="169">
        <f ca="1">IFERROR(__xludf.DUMMYFUNCTION("IMPORTRANGE(""https://docs.google.com/spreadsheets/d/1awYsYK3VOup2i3Pq_Yjnu8DRu_mYwSBnCR2QPthd0rU/edit?usp=sharing"",""ศูนย์ยกเว้นโฉนด!D24"")"),164)</f>
        <v>164</v>
      </c>
      <c r="K344" s="47">
        <f ca="1">IF(I344&gt;0,J344*100/I344,0)</f>
        <v>14.385964912280702</v>
      </c>
      <c r="L344" s="46"/>
      <c r="M344" s="46"/>
      <c r="N344" s="46"/>
      <c r="O344" s="46"/>
      <c r="P344" s="46"/>
    </row>
    <row r="345" spans="1:16" ht="18.75" x14ac:dyDescent="0.25">
      <c r="A345" s="227"/>
      <c r="B345" s="41"/>
      <c r="C345" s="228"/>
      <c r="D345" s="155"/>
      <c r="E345" s="159" t="s">
        <v>133</v>
      </c>
      <c r="F345" s="41"/>
      <c r="G345" s="43"/>
      <c r="H345" s="346"/>
      <c r="I345" s="45"/>
      <c r="J345" s="45"/>
      <c r="K345" s="46"/>
      <c r="L345" s="46"/>
      <c r="M345" s="46"/>
      <c r="N345" s="46"/>
      <c r="O345" s="46"/>
      <c r="P345" s="46"/>
    </row>
    <row r="346" spans="1:16" ht="18.75" x14ac:dyDescent="0.25">
      <c r="A346" s="227"/>
      <c r="B346" s="41"/>
      <c r="C346" s="228"/>
      <c r="D346" s="155"/>
      <c r="E346" s="155"/>
      <c r="F346" s="159" t="s">
        <v>134</v>
      </c>
      <c r="G346" s="43"/>
      <c r="H346" s="347" t="s">
        <v>135</v>
      </c>
      <c r="I346" s="169">
        <f ca="1">IFERROR(__xludf.DUMMYFUNCTION("IMPORTRANGE(""https://docs.google.com/spreadsheets/d/1eHaY18a8A9IcSdp1K8H6x8fbOy06t2VsZHhMHf-1x7Y/edit?usp=sharing"",""แผน!EL24"")"),4)</f>
        <v>4</v>
      </c>
      <c r="J346" s="169">
        <f ca="1">IFERROR(__xludf.DUMMYFUNCTION("IMPORTRANGE(""https://docs.google.com/spreadsheets/d/1awYsYK3VOup2i3Pq_Yjnu8DRu_mYwSBnCR2QPthd0rU/edit?usp=sharing"",""ศูนย์รวม!E24"")"),0)</f>
        <v>0</v>
      </c>
      <c r="K346" s="47">
        <f ca="1">IF(I346&gt;0,J346*100/I346,0)</f>
        <v>0</v>
      </c>
      <c r="L346" s="46"/>
      <c r="M346" s="46"/>
      <c r="N346" s="46"/>
      <c r="O346" s="46"/>
      <c r="P346" s="46"/>
    </row>
    <row r="347" spans="1:16" ht="18.75" x14ac:dyDescent="0.25">
      <c r="A347" s="227"/>
      <c r="B347" s="41"/>
      <c r="C347" s="228"/>
      <c r="D347" s="155"/>
      <c r="E347" s="155"/>
      <c r="F347" s="159" t="s">
        <v>136</v>
      </c>
      <c r="G347" s="43"/>
      <c r="H347" s="347" t="s">
        <v>33</v>
      </c>
      <c r="I347" s="45"/>
      <c r="J347" s="169">
        <f ca="1">IFERROR(__xludf.DUMMYFUNCTION("IMPORTRANGE(""https://docs.google.com/spreadsheets/d/1awYsYK3VOup2i3Pq_Yjnu8DRu_mYwSBnCR2QPthd0rU/edit?usp=sharing"",""ศูนย์ยกเว้นโฉนด!F24"")"),0)</f>
        <v>0</v>
      </c>
      <c r="K347" s="46"/>
      <c r="L347" s="46"/>
      <c r="M347" s="46"/>
      <c r="N347" s="46"/>
      <c r="O347" s="46"/>
      <c r="P347" s="46"/>
    </row>
    <row r="348" spans="1:16" ht="18.75" x14ac:dyDescent="0.25">
      <c r="A348" s="227"/>
      <c r="B348" s="41"/>
      <c r="C348" s="228"/>
      <c r="D348" s="155"/>
      <c r="E348" s="159" t="s">
        <v>137</v>
      </c>
      <c r="F348" s="155"/>
      <c r="G348" s="43"/>
      <c r="H348" s="347" t="s">
        <v>33</v>
      </c>
      <c r="I348" s="45"/>
      <c r="J348" s="169">
        <f ca="1">IFERROR(__xludf.DUMMYFUNCTION("IMPORTRANGE(""https://docs.google.com/spreadsheets/d/1awYsYK3VOup2i3Pq_Yjnu8DRu_mYwSBnCR2QPthd0rU/edit?usp=sharing"",""ศูนย์ยกเว้นโฉนด!G24"")"),13)</f>
        <v>13</v>
      </c>
      <c r="K348" s="46"/>
      <c r="L348" s="46"/>
      <c r="M348" s="46"/>
      <c r="N348" s="46"/>
      <c r="O348" s="46"/>
      <c r="P348" s="46"/>
    </row>
    <row r="349" spans="1:16" ht="18.75" x14ac:dyDescent="0.25">
      <c r="A349" s="227"/>
      <c r="B349" s="41"/>
      <c r="C349" s="228"/>
      <c r="D349" s="149"/>
      <c r="E349" s="159" t="s">
        <v>138</v>
      </c>
      <c r="F349" s="155"/>
      <c r="G349" s="43"/>
      <c r="H349" s="347" t="s">
        <v>33</v>
      </c>
      <c r="I349" s="45"/>
      <c r="J349" s="169">
        <f ca="1">IFERROR(__xludf.DUMMYFUNCTION("IMPORTRANGE(""https://docs.google.com/spreadsheets/d/1awYsYK3VOup2i3Pq_Yjnu8DRu_mYwSBnCR2QPthd0rU/edit?usp=sharing"",""ศูนย์ยกเว้นโฉนด!H24"")"),0)</f>
        <v>0</v>
      </c>
      <c r="K349" s="46"/>
      <c r="L349" s="46"/>
      <c r="M349" s="46"/>
      <c r="N349" s="46"/>
      <c r="O349" s="46"/>
      <c r="P349" s="46"/>
    </row>
    <row r="350" spans="1:16" ht="16.5" x14ac:dyDescent="0.25">
      <c r="A350" s="228"/>
      <c r="B350" s="41"/>
      <c r="C350" s="228"/>
      <c r="D350" s="34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1"/>
      <c r="F350" s="41"/>
      <c r="G350" s="43"/>
      <c r="H350" s="346"/>
      <c r="I350" s="45"/>
      <c r="J350" s="45"/>
      <c r="K350" s="46"/>
      <c r="L350" s="46"/>
      <c r="M350" s="46"/>
      <c r="N350" s="46"/>
      <c r="O350" s="46"/>
      <c r="P350" s="46"/>
    </row>
    <row r="351" spans="1:16" ht="19.5" x14ac:dyDescent="0.3">
      <c r="A351" s="233"/>
      <c r="B351" s="236"/>
      <c r="C351" s="234"/>
      <c r="D351" s="236"/>
      <c r="E351" s="396" t="s">
        <v>139</v>
      </c>
      <c r="F351" s="236"/>
      <c r="G351" s="237"/>
      <c r="H351" s="238" t="s">
        <v>33</v>
      </c>
      <c r="I351" s="239">
        <v>0</v>
      </c>
      <c r="J351" s="239">
        <f ca="1">J352+J353</f>
        <v>784</v>
      </c>
      <c r="K351" s="240">
        <v>0</v>
      </c>
      <c r="L351" s="241"/>
      <c r="M351" s="241"/>
      <c r="N351" s="241"/>
      <c r="O351" s="241"/>
      <c r="P351" s="241"/>
    </row>
    <row r="352" spans="1:16" ht="18.75" x14ac:dyDescent="0.25">
      <c r="A352" s="228"/>
      <c r="B352" s="41"/>
      <c r="C352" s="228"/>
      <c r="D352" s="155"/>
      <c r="E352" s="159" t="s">
        <v>140</v>
      </c>
      <c r="F352" s="41"/>
      <c r="G352" s="43"/>
      <c r="H352" s="142" t="s">
        <v>33</v>
      </c>
      <c r="I352" s="45"/>
      <c r="J352" s="169">
        <f ca="1">IFERROR(__xludf.DUMMYFUNCTION("IMPORTRANGE(""https://docs.google.com/spreadsheets/d/1awYsYK3VOup2i3Pq_Yjnu8DRu_mYwSBnCR2QPthd0rU/edit?usp=sharing"",""โฉนดM3!G24"")"),110)</f>
        <v>110</v>
      </c>
      <c r="K352" s="46"/>
      <c r="L352" s="46"/>
      <c r="M352" s="46"/>
      <c r="N352" s="46"/>
      <c r="O352" s="46"/>
      <c r="P352" s="46"/>
    </row>
    <row r="353" spans="1:16" ht="18.75" x14ac:dyDescent="0.25">
      <c r="A353" s="228"/>
      <c r="B353" s="41"/>
      <c r="C353" s="228"/>
      <c r="D353" s="155"/>
      <c r="E353" s="159" t="s">
        <v>141</v>
      </c>
      <c r="F353" s="41"/>
      <c r="G353" s="43"/>
      <c r="H353" s="142" t="s">
        <v>33</v>
      </c>
      <c r="I353" s="45"/>
      <c r="J353" s="169">
        <f ca="1">IFERROR(__xludf.DUMMYFUNCTION("IMPORTRANGE(""https://docs.google.com/spreadsheets/d/1awYsYK3VOup2i3Pq_Yjnu8DRu_mYwSBnCR2QPthd0rU/edit?usp=sharing"",""โฉนดM3!H24"")"),674)</f>
        <v>674</v>
      </c>
      <c r="K353" s="46"/>
      <c r="L353" s="46"/>
      <c r="M353" s="46"/>
      <c r="N353" s="46"/>
      <c r="O353" s="46"/>
      <c r="P353" s="46"/>
    </row>
    <row r="354" spans="1:16" ht="16.5" x14ac:dyDescent="0.25">
      <c r="A354" s="228"/>
      <c r="B354" s="41"/>
      <c r="C354" s="228"/>
      <c r="D354" s="34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1"/>
      <c r="F354" s="41"/>
      <c r="G354" s="43"/>
      <c r="H354" s="346"/>
      <c r="I354" s="45"/>
      <c r="J354" s="45"/>
      <c r="K354" s="46"/>
      <c r="L354" s="46"/>
      <c r="M354" s="46"/>
      <c r="N354" s="46"/>
      <c r="O354" s="46"/>
      <c r="P354" s="46"/>
    </row>
    <row r="355" spans="1:16" ht="19.5" x14ac:dyDescent="0.3">
      <c r="A355" s="323"/>
      <c r="B355" s="324" t="s">
        <v>142</v>
      </c>
      <c r="C355" s="333"/>
      <c r="D355" s="325"/>
      <c r="E355" s="325"/>
      <c r="F355" s="325"/>
      <c r="G355" s="326"/>
      <c r="H355" s="326"/>
      <c r="I355" s="350"/>
      <c r="J355" s="350"/>
      <c r="K355" s="330"/>
      <c r="L355" s="330"/>
      <c r="M355" s="330"/>
      <c r="N355" s="330"/>
      <c r="O355" s="330"/>
      <c r="P355" s="330"/>
    </row>
    <row r="356" spans="1:16" ht="19.5" x14ac:dyDescent="0.3">
      <c r="A356" s="136"/>
      <c r="B356" s="41"/>
      <c r="C356" s="197" t="s">
        <v>16</v>
      </c>
      <c r="D356" s="397" t="s">
        <v>17</v>
      </c>
      <c r="E356" s="41"/>
      <c r="F356" s="41"/>
      <c r="G356" s="43"/>
      <c r="H356" s="139" t="s">
        <v>12</v>
      </c>
      <c r="I356" s="45"/>
      <c r="J356" s="45"/>
      <c r="K356" s="46"/>
      <c r="L356" s="140">
        <f ca="1">L357+L358</f>
        <v>422685</v>
      </c>
      <c r="M356" s="140">
        <f ca="1">M357+M358</f>
        <v>344085</v>
      </c>
      <c r="N356" s="140">
        <f ca="1">N357+N358</f>
        <v>48980</v>
      </c>
      <c r="O356" s="140">
        <f ca="1">IF(L356&gt;0,N356*100/L356,0)</f>
        <v>11.587825449211588</v>
      </c>
      <c r="P356" s="140">
        <f ca="1">IF(M356&gt;0,N356*100/M356,0)</f>
        <v>14.234854759725067</v>
      </c>
    </row>
    <row r="357" spans="1:16" ht="18.75" hidden="1" x14ac:dyDescent="0.25">
      <c r="A357" s="136"/>
      <c r="B357" s="41"/>
      <c r="C357" s="41"/>
      <c r="D357" s="41"/>
      <c r="E357" s="279" t="s">
        <v>18</v>
      </c>
      <c r="F357" s="41"/>
      <c r="G357" s="43"/>
      <c r="H357" s="141" t="s">
        <v>12</v>
      </c>
      <c r="I357" s="45"/>
      <c r="J357" s="45"/>
      <c r="K357" s="46"/>
      <c r="L357" s="50">
        <f>L360+L363</f>
        <v>0</v>
      </c>
      <c r="M357" s="50">
        <f>M360+M363</f>
        <v>0</v>
      </c>
      <c r="N357" s="50">
        <f>N360+N363</f>
        <v>0</v>
      </c>
      <c r="O357" s="50">
        <f>IF(L357&gt;0,N357*100/L357,0)</f>
        <v>0</v>
      </c>
      <c r="P357" s="50">
        <f>IF(M357&gt;0,N357*100/M357,0)</f>
        <v>0</v>
      </c>
    </row>
    <row r="358" spans="1:16" ht="18.75" x14ac:dyDescent="0.25">
      <c r="A358" s="136"/>
      <c r="B358" s="41"/>
      <c r="C358" s="41"/>
      <c r="D358" s="41"/>
      <c r="E358" s="254" t="s">
        <v>19</v>
      </c>
      <c r="F358" s="41"/>
      <c r="G358" s="43"/>
      <c r="H358" s="142" t="s">
        <v>12</v>
      </c>
      <c r="I358" s="45"/>
      <c r="J358" s="45"/>
      <c r="K358" s="46"/>
      <c r="L358" s="47">
        <f ca="1">L361+L364</f>
        <v>422685</v>
      </c>
      <c r="M358" s="47">
        <f ca="1">M361+M364</f>
        <v>344085</v>
      </c>
      <c r="N358" s="47">
        <f ca="1">N361+N364</f>
        <v>48980</v>
      </c>
      <c r="O358" s="47">
        <f ca="1">IF(L358&gt;0,N358*100/L358,0)</f>
        <v>11.587825449211588</v>
      </c>
      <c r="P358" s="47">
        <f ca="1">IF(M358&gt;0,N358*100/M358,0)</f>
        <v>14.234854759725067</v>
      </c>
    </row>
    <row r="359" spans="1:16" ht="18.75" x14ac:dyDescent="0.25">
      <c r="A359" s="136"/>
      <c r="B359" s="41"/>
      <c r="C359" s="41"/>
      <c r="D359" s="42" t="s">
        <v>20</v>
      </c>
      <c r="E359" s="41"/>
      <c r="F359" s="41"/>
      <c r="G359" s="43"/>
      <c r="H359" s="143" t="s">
        <v>12</v>
      </c>
      <c r="I359" s="144"/>
      <c r="J359" s="144"/>
      <c r="K359" s="145"/>
      <c r="L359" s="47">
        <f ca="1">L360+L361</f>
        <v>422685</v>
      </c>
      <c r="M359" s="47">
        <f ca="1">M360+M361</f>
        <v>344085</v>
      </c>
      <c r="N359" s="47">
        <f ca="1">N360+N361</f>
        <v>48980</v>
      </c>
      <c r="O359" s="47">
        <f ca="1">IF(L359&gt;0,N359*100/L359,0)</f>
        <v>11.587825449211588</v>
      </c>
      <c r="P359" s="47">
        <f ca="1">IF(M359&gt;0,N359*100/M359,0)</f>
        <v>14.234854759725067</v>
      </c>
    </row>
    <row r="360" spans="1:16" ht="18.75" hidden="1" x14ac:dyDescent="0.25">
      <c r="A360" s="136"/>
      <c r="B360" s="41"/>
      <c r="C360" s="41"/>
      <c r="D360" s="41"/>
      <c r="E360" s="279" t="s">
        <v>34</v>
      </c>
      <c r="F360" s="41"/>
      <c r="G360" s="43"/>
      <c r="H360" s="146" t="s">
        <v>12</v>
      </c>
      <c r="I360" s="144"/>
      <c r="J360" s="144"/>
      <c r="K360" s="145"/>
      <c r="L360" s="50">
        <v>0</v>
      </c>
      <c r="M360" s="50">
        <v>0</v>
      </c>
      <c r="N360" s="50">
        <v>0</v>
      </c>
      <c r="O360" s="50">
        <f>IF(L360&gt;0,N360*100/L360,0)</f>
        <v>0</v>
      </c>
      <c r="P360" s="50">
        <f>IF(M360&gt;0,N360*100/M360,0)</f>
        <v>0</v>
      </c>
    </row>
    <row r="361" spans="1:16" ht="18.75" x14ac:dyDescent="0.25">
      <c r="A361" s="136"/>
      <c r="B361" s="41"/>
      <c r="C361" s="41"/>
      <c r="D361" s="41"/>
      <c r="E361" s="254" t="s">
        <v>35</v>
      </c>
      <c r="F361" s="41"/>
      <c r="G361" s="43"/>
      <c r="H361" s="143" t="s">
        <v>12</v>
      </c>
      <c r="I361" s="144"/>
      <c r="J361" s="144"/>
      <c r="K361" s="145"/>
      <c r="L361" s="47">
        <f ca="1">IFERROR(__xludf.DUMMYFUNCTION("IMPORTRANGE(""https://docs.google.com/spreadsheets/d/1-uDff_7J0KD5mKrp0Vvzr7lt3OU09vwQwhkpOPPYv2Y/edit?usp=sharing"",""งบพรบ!FC24"")"),422685)</f>
        <v>422685</v>
      </c>
      <c r="M361" s="47">
        <f ca="1">IFERROR(__xludf.DUMMYFUNCTION("IMPORTRANGE(""https://docs.google.com/spreadsheets/d/1-uDff_7J0KD5mKrp0Vvzr7lt3OU09vwQwhkpOPPYv2Y/edit?usp=sharing"",""งบพรบ!FH24"")"),344085)</f>
        <v>344085</v>
      </c>
      <c r="N361" s="47">
        <f ca="1">IFERROR(__xludf.DUMMYFUNCTION("IMPORTRANGE(""https://docs.google.com/spreadsheets/d/1-uDff_7J0KD5mKrp0Vvzr7lt3OU09vwQwhkpOPPYv2Y/edit?usp=sharing"",""งบพรบ!FJ24"")"),48980)</f>
        <v>48980</v>
      </c>
      <c r="O361" s="47">
        <f ca="1">IF(L361&gt;0,N361*100/L361,0)</f>
        <v>11.587825449211588</v>
      </c>
      <c r="P361" s="47">
        <f ca="1">IF(M361&gt;0,N361*100/M361,0)</f>
        <v>14.234854759725067</v>
      </c>
    </row>
    <row r="362" spans="1:16" ht="18.75" x14ac:dyDescent="0.25">
      <c r="A362" s="136"/>
      <c r="B362" s="41"/>
      <c r="C362" s="41"/>
      <c r="D362" s="42" t="s">
        <v>21</v>
      </c>
      <c r="E362" s="41"/>
      <c r="F362" s="41"/>
      <c r="G362" s="43"/>
      <c r="H362" s="147" t="s">
        <v>12</v>
      </c>
      <c r="I362" s="144"/>
      <c r="J362" s="144"/>
      <c r="K362" s="145"/>
      <c r="L362" s="47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</row>
    <row r="363" spans="1:16" ht="18.75" hidden="1" x14ac:dyDescent="0.25">
      <c r="A363" s="136"/>
      <c r="B363" s="41"/>
      <c r="C363" s="41"/>
      <c r="D363" s="41"/>
      <c r="E363" s="279" t="s">
        <v>18</v>
      </c>
      <c r="F363" s="41"/>
      <c r="G363" s="43"/>
      <c r="H363" s="146" t="s">
        <v>12</v>
      </c>
      <c r="I363" s="144"/>
      <c r="J363" s="144"/>
      <c r="K363" s="145"/>
      <c r="L363" s="50">
        <v>0</v>
      </c>
      <c r="M363" s="50">
        <v>0</v>
      </c>
      <c r="N363" s="50">
        <v>0</v>
      </c>
      <c r="O363" s="50">
        <f>IF(L363&gt;0,N363*100/L363,0)</f>
        <v>0</v>
      </c>
      <c r="P363" s="50">
        <f>IF(M363&gt;0,N363*100/M363,0)</f>
        <v>0</v>
      </c>
    </row>
    <row r="364" spans="1:16" ht="18.75" x14ac:dyDescent="0.25">
      <c r="A364" s="136"/>
      <c r="B364" s="41"/>
      <c r="C364" s="41"/>
      <c r="D364" s="41"/>
      <c r="E364" s="254" t="s">
        <v>19</v>
      </c>
      <c r="F364" s="41"/>
      <c r="G364" s="43"/>
      <c r="H364" s="147" t="s">
        <v>12</v>
      </c>
      <c r="I364" s="144"/>
      <c r="J364" s="144"/>
      <c r="K364" s="145"/>
      <c r="L364" s="47">
        <f ca="1">IFERROR(__xludf.DUMMYFUNCTION("IMPORTRANGE(""https://docs.google.com/spreadsheets/d/1-uDff_7J0KD5mKrp0Vvzr7lt3OU09vwQwhkpOPPYv2Y/edit?usp=sharing"",""งบพรบ!FF24"")"),0)</f>
        <v>0</v>
      </c>
      <c r="M364" s="47">
        <f ca="1">IFERROR(__xludf.DUMMYFUNCTION("IMPORTRANGE(""https://docs.google.com/spreadsheets/d/1-uDff_7J0KD5mKrp0Vvzr7lt3OU09vwQwhkpOPPYv2Y/edit?usp=sharing"",""งบพรบ!FI24"")"),0)</f>
        <v>0</v>
      </c>
      <c r="N364" s="47">
        <f ca="1">IFERROR(__xludf.DUMMYFUNCTION("IMPORTRANGE(""https://docs.google.com/spreadsheets/d/1-uDff_7J0KD5mKrp0Vvzr7lt3OU09vwQwhkpOPPYv2Y/edit?usp=sharing"",""งบพรบ!FK24"")"),0)</f>
        <v>0</v>
      </c>
      <c r="O364" s="47">
        <f ca="1">IF(L364&gt;0,N364*100/L364,0)</f>
        <v>0</v>
      </c>
      <c r="P364" s="47">
        <f ca="1">IF(M364&gt;0,N364*100/M364,0)</f>
        <v>0</v>
      </c>
    </row>
    <row r="365" spans="1:16" ht="19.5" x14ac:dyDescent="0.3">
      <c r="A365" s="233"/>
      <c r="B365" s="234"/>
      <c r="C365" s="236"/>
      <c r="D365" s="396" t="s">
        <v>143</v>
      </c>
      <c r="E365" s="236"/>
      <c r="F365" s="236"/>
      <c r="G365" s="237"/>
      <c r="H365" s="245" t="s">
        <v>33</v>
      </c>
      <c r="I365" s="239">
        <f ca="1">I371</f>
        <v>134</v>
      </c>
      <c r="J365" s="239">
        <f ca="1">J371</f>
        <v>56</v>
      </c>
      <c r="K365" s="240">
        <f ca="1">IF(I365&gt;0,J365*100/I365,0)</f>
        <v>41.791044776119406</v>
      </c>
      <c r="L365" s="241"/>
      <c r="M365" s="241"/>
      <c r="N365" s="241"/>
      <c r="O365" s="241"/>
      <c r="P365" s="241"/>
    </row>
    <row r="366" spans="1:16" ht="19.5" x14ac:dyDescent="0.3">
      <c r="A366" s="148"/>
      <c r="B366" s="149"/>
      <c r="C366" s="197" t="s">
        <v>16</v>
      </c>
      <c r="D366" s="395" t="s">
        <v>36</v>
      </c>
      <c r="E366" s="151"/>
      <c r="F366" s="151"/>
      <c r="G366" s="152"/>
      <c r="H366" s="153"/>
      <c r="I366" s="45"/>
      <c r="J366" s="45"/>
      <c r="K366" s="46"/>
      <c r="L366" s="145"/>
      <c r="M366" s="145"/>
      <c r="N366" s="145"/>
      <c r="O366" s="145"/>
      <c r="P366" s="145"/>
    </row>
    <row r="367" spans="1:16" ht="18.75" x14ac:dyDescent="0.25">
      <c r="A367" s="148"/>
      <c r="B367" s="155"/>
      <c r="C367" s="149"/>
      <c r="D367" s="155"/>
      <c r="E367" s="154" t="s">
        <v>144</v>
      </c>
      <c r="F367" s="155"/>
      <c r="G367" s="153"/>
      <c r="H367" s="164" t="s">
        <v>33</v>
      </c>
      <c r="I367" s="169">
        <v>0</v>
      </c>
      <c r="J367" s="169">
        <f ca="1">IFERROR(__xludf.DUMMYFUNCTION("IMPORTRANGE(""https://docs.google.com/spreadsheets/d/1tdoBKaGub7dwA3U6UFTqxio9LNnvDCQjHKmttSEBsFQ/edit?usp=sharing"",""จัดที่ดิน!AB24"")"),0)</f>
        <v>0</v>
      </c>
      <c r="K367" s="47">
        <f>IF(I367&gt;0,J367*100/I367,0)</f>
        <v>0</v>
      </c>
      <c r="L367" s="145"/>
      <c r="M367" s="145"/>
      <c r="N367" s="145"/>
      <c r="O367" s="145"/>
      <c r="P367" s="145"/>
    </row>
    <row r="368" spans="1:16" ht="18.75" x14ac:dyDescent="0.25">
      <c r="A368" s="148"/>
      <c r="B368" s="155"/>
      <c r="C368" s="149"/>
      <c r="D368" s="155"/>
      <c r="E368" s="155"/>
      <c r="F368" s="155"/>
      <c r="G368" s="153"/>
      <c r="H368" s="164" t="s">
        <v>44</v>
      </c>
      <c r="I368" s="169">
        <f ca="1">IFERROR(__xludf.DUMMYFUNCTION("IMPORTRANGE(""https://docs.google.com/spreadsheets/d/1eHaY18a8A9IcSdp1K8H6x8fbOy06t2VsZHhMHf-1x7Y/edit?usp=sharing"",""แผน!EW24"")"),1180)</f>
        <v>1180</v>
      </c>
      <c r="J368" s="351">
        <f ca="1">IFERROR(__xludf.DUMMYFUNCTION("IMPORTRANGE(""https://docs.google.com/spreadsheets/d/1tdoBKaGub7dwA3U6UFTqxio9LNnvDCQjHKmttSEBsFQ/edit?usp=sharing"",""จัดที่ดิน!AC24"")"),0)</f>
        <v>0</v>
      </c>
      <c r="K368" s="47">
        <f ca="1">IF(I368&gt;0,J368*100/I368,0)</f>
        <v>0</v>
      </c>
      <c r="L368" s="145"/>
      <c r="M368" s="145"/>
      <c r="N368" s="145"/>
      <c r="O368" s="145"/>
      <c r="P368" s="145"/>
    </row>
    <row r="369" spans="1:16" ht="18.75" x14ac:dyDescent="0.25">
      <c r="A369" s="148"/>
      <c r="B369" s="155"/>
      <c r="C369" s="149"/>
      <c r="D369" s="155"/>
      <c r="E369" s="154" t="s">
        <v>145</v>
      </c>
      <c r="F369" s="155"/>
      <c r="G369" s="153"/>
      <c r="H369" s="251" t="s">
        <v>33</v>
      </c>
      <c r="I369" s="169">
        <f ca="1">IFERROR(__xludf.DUMMYFUNCTION("IMPORTRANGE(""https://docs.google.com/spreadsheets/d/1eHaY18a8A9IcSdp1K8H6x8fbOy06t2VsZHhMHf-1x7Y/edit?usp=sharing"",""แผน!EX24"")"),191)</f>
        <v>191</v>
      </c>
      <c r="J369" s="169">
        <f ca="1">IFERROR(__xludf.DUMMYFUNCTION("IMPORTRANGE(""https://docs.google.com/spreadsheets/d/1tdoBKaGub7dwA3U6UFTqxio9LNnvDCQjHKmttSEBsFQ/edit?usp=sharing"",""จัดที่ดิน!AD24"")"),56)</f>
        <v>56</v>
      </c>
      <c r="K369" s="47">
        <f ca="1">IF(I369&gt;0,J369*100/I369,0)</f>
        <v>29.319371727748692</v>
      </c>
      <c r="L369" s="145"/>
      <c r="M369" s="145"/>
      <c r="N369" s="145"/>
      <c r="O369" s="145"/>
      <c r="P369" s="145"/>
    </row>
    <row r="370" spans="1:16" ht="18.75" x14ac:dyDescent="0.25">
      <c r="A370" s="148"/>
      <c r="B370" s="155"/>
      <c r="C370" s="149"/>
      <c r="D370" s="155"/>
      <c r="E370" s="155"/>
      <c r="F370" s="155"/>
      <c r="G370" s="153"/>
      <c r="H370" s="251" t="s">
        <v>44</v>
      </c>
      <c r="I370" s="169">
        <v>0</v>
      </c>
      <c r="J370" s="351">
        <f ca="1">IFERROR(__xludf.DUMMYFUNCTION("IMPORTRANGE(""https://docs.google.com/spreadsheets/d/1tdoBKaGub7dwA3U6UFTqxio9LNnvDCQjHKmttSEBsFQ/edit?usp=sharing"",""จัดที่ดิน!AE24"")"),504.85)</f>
        <v>504.85</v>
      </c>
      <c r="K370" s="47">
        <f>IF(I370&gt;0,J370*100/I370,0)</f>
        <v>0</v>
      </c>
      <c r="L370" s="145"/>
      <c r="M370" s="145"/>
      <c r="N370" s="145"/>
      <c r="O370" s="145"/>
      <c r="P370" s="145"/>
    </row>
    <row r="371" spans="1:16" ht="18.75" x14ac:dyDescent="0.25">
      <c r="A371" s="148"/>
      <c r="B371" s="155"/>
      <c r="C371" s="149"/>
      <c r="D371" s="155"/>
      <c r="E371" s="154" t="s">
        <v>146</v>
      </c>
      <c r="F371" s="155"/>
      <c r="G371" s="153"/>
      <c r="H371" s="251" t="s">
        <v>33</v>
      </c>
      <c r="I371" s="169">
        <f ca="1">IFERROR(__xludf.DUMMYFUNCTION("IMPORTRANGE(""https://docs.google.com/spreadsheets/d/1eHaY18a8A9IcSdp1K8H6x8fbOy06t2VsZHhMHf-1x7Y/edit?usp=sharing"",""แผน!EY24"")"),134)</f>
        <v>134</v>
      </c>
      <c r="J371" s="169">
        <f ca="1">IFERROR(__xludf.DUMMYFUNCTION("IMPORTRANGE(""https://docs.google.com/spreadsheets/d/1tdoBKaGub7dwA3U6UFTqxio9LNnvDCQjHKmttSEBsFQ/edit?usp=sharing"",""จัดที่ดิน!AF24"")"),56)</f>
        <v>56</v>
      </c>
      <c r="K371" s="47">
        <f ca="1">IF(I371&gt;0,J371*100/I371,0)</f>
        <v>41.791044776119406</v>
      </c>
      <c r="L371" s="145"/>
      <c r="M371" s="145"/>
      <c r="N371" s="145"/>
      <c r="O371" s="145"/>
      <c r="P371" s="145"/>
    </row>
    <row r="372" spans="1:16" ht="18.75" x14ac:dyDescent="0.25">
      <c r="A372" s="148"/>
      <c r="B372" s="155"/>
      <c r="C372" s="149"/>
      <c r="D372" s="155"/>
      <c r="E372" s="155"/>
      <c r="F372" s="155"/>
      <c r="G372" s="153"/>
      <c r="H372" s="251" t="s">
        <v>44</v>
      </c>
      <c r="I372" s="169">
        <v>0</v>
      </c>
      <c r="J372" s="351">
        <f ca="1">IFERROR(__xludf.DUMMYFUNCTION("IMPORTRANGE(""https://docs.google.com/spreadsheets/d/1tdoBKaGub7dwA3U6UFTqxio9LNnvDCQjHKmttSEBsFQ/edit?usp=sharing"",""จัดที่ดิน!AG24"")"),505.77)</f>
        <v>505.77</v>
      </c>
      <c r="K372" s="47">
        <f>IF(I372&gt;0,J372*100/I372,0)</f>
        <v>0</v>
      </c>
      <c r="L372" s="145"/>
      <c r="M372" s="145"/>
      <c r="N372" s="145"/>
      <c r="O372" s="145"/>
      <c r="P372" s="145"/>
    </row>
    <row r="373" spans="1:16" ht="16.5" x14ac:dyDescent="0.25">
      <c r="A373" s="2"/>
      <c r="B373" s="1"/>
      <c r="C373" s="2"/>
      <c r="D373" s="352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4"/>
      <c r="H373" s="54"/>
      <c r="I373" s="56"/>
      <c r="J373" s="56"/>
      <c r="K373" s="57"/>
      <c r="L373" s="57"/>
      <c r="M373" s="57"/>
      <c r="N373" s="57"/>
      <c r="O373" s="57"/>
      <c r="P373" s="57"/>
    </row>
    <row r="374" spans="1:16" ht="19.5" hidden="1" x14ac:dyDescent="0.3">
      <c r="A374" s="353" t="s">
        <v>147</v>
      </c>
      <c r="B374" s="354"/>
      <c r="C374" s="354"/>
      <c r="D374" s="354"/>
      <c r="E374" s="355"/>
      <c r="F374" s="355"/>
      <c r="G374" s="355"/>
      <c r="H374" s="355"/>
      <c r="I374" s="356"/>
      <c r="J374" s="356"/>
      <c r="K374" s="357"/>
      <c r="L374" s="357"/>
      <c r="M374" s="357"/>
      <c r="N374" s="357"/>
      <c r="O374" s="357"/>
      <c r="P374" s="358"/>
    </row>
    <row r="375" spans="1:16" ht="19.5" hidden="1" x14ac:dyDescent="0.3">
      <c r="A375" s="359" t="s">
        <v>148</v>
      </c>
      <c r="B375" s="360"/>
      <c r="C375" s="360"/>
      <c r="D375" s="361"/>
      <c r="E375" s="360"/>
      <c r="F375" s="360"/>
      <c r="G375" s="360"/>
      <c r="H375" s="362"/>
      <c r="I375" s="363"/>
      <c r="J375" s="363"/>
      <c r="K375" s="364"/>
      <c r="L375" s="364"/>
      <c r="M375" s="364"/>
      <c r="N375" s="364"/>
      <c r="O375" s="364"/>
      <c r="P375" s="364"/>
    </row>
    <row r="376" spans="1:16" ht="19.5" hidden="1" x14ac:dyDescent="0.3">
      <c r="A376" s="365"/>
      <c r="B376" s="366" t="s">
        <v>149</v>
      </c>
      <c r="C376" s="367"/>
      <c r="D376" s="368"/>
      <c r="E376" s="368"/>
      <c r="F376" s="368"/>
      <c r="G376" s="369"/>
      <c r="H376" s="370" t="s">
        <v>54</v>
      </c>
      <c r="I376" s="371">
        <f>I388</f>
        <v>0</v>
      </c>
      <c r="J376" s="371">
        <f>J388</f>
        <v>0</v>
      </c>
      <c r="K376" s="372">
        <f>IF(I376&gt;0,J376*100/I376,0)</f>
        <v>0</v>
      </c>
      <c r="L376" s="373"/>
      <c r="M376" s="373"/>
      <c r="N376" s="373"/>
      <c r="O376" s="373"/>
      <c r="P376" s="373"/>
    </row>
    <row r="377" spans="1:16" ht="19.5" hidden="1" x14ac:dyDescent="0.3">
      <c r="A377" s="136"/>
      <c r="B377" s="41"/>
      <c r="C377" s="260" t="s">
        <v>16</v>
      </c>
      <c r="D377" s="261" t="s">
        <v>17</v>
      </c>
      <c r="E377" s="41"/>
      <c r="F377" s="41"/>
      <c r="G377" s="43"/>
      <c r="H377" s="277" t="s">
        <v>12</v>
      </c>
      <c r="I377" s="45"/>
      <c r="J377" s="45"/>
      <c r="K377" s="46"/>
      <c r="L377" s="263">
        <f ca="1">L378+L379</f>
        <v>0</v>
      </c>
      <c r="M377" s="263">
        <f ca="1">M378+M379</f>
        <v>0</v>
      </c>
      <c r="N377" s="263">
        <f ca="1">N378+N379</f>
        <v>0</v>
      </c>
      <c r="O377" s="263">
        <f ca="1">IF(L377&gt;0,N377*100/L377,0)</f>
        <v>0</v>
      </c>
      <c r="P377" s="263">
        <f ca="1">IF(M377&gt;0,N377*100/M377,0)</f>
        <v>0</v>
      </c>
    </row>
    <row r="378" spans="1:16" ht="18.75" hidden="1" x14ac:dyDescent="0.25">
      <c r="A378" s="136"/>
      <c r="B378" s="41"/>
      <c r="C378" s="41"/>
      <c r="D378" s="41"/>
      <c r="E378" s="279" t="s">
        <v>18</v>
      </c>
      <c r="F378" s="41"/>
      <c r="G378" s="43"/>
      <c r="H378" s="141" t="s">
        <v>12</v>
      </c>
      <c r="I378" s="45"/>
      <c r="J378" s="45"/>
      <c r="K378" s="46"/>
      <c r="L378" s="50">
        <f>L381+L384</f>
        <v>0</v>
      </c>
      <c r="M378" s="50">
        <f>M381+M384</f>
        <v>0</v>
      </c>
      <c r="N378" s="50">
        <f>N381+N384</f>
        <v>0</v>
      </c>
      <c r="O378" s="50">
        <f>IF(L378&gt;0,N378*100/L378,0)</f>
        <v>0</v>
      </c>
      <c r="P378" s="50">
        <f>IF(M378&gt;0,N378*100/M378,0)</f>
        <v>0</v>
      </c>
    </row>
    <row r="379" spans="1:16" ht="18.75" hidden="1" x14ac:dyDescent="0.25">
      <c r="A379" s="136"/>
      <c r="B379" s="41"/>
      <c r="C379" s="41"/>
      <c r="D379" s="41"/>
      <c r="E379" s="279" t="s">
        <v>19</v>
      </c>
      <c r="F379" s="41"/>
      <c r="G379" s="43"/>
      <c r="H379" s="141" t="s">
        <v>12</v>
      </c>
      <c r="I379" s="45"/>
      <c r="J379" s="45"/>
      <c r="K379" s="46"/>
      <c r="L379" s="50">
        <f ca="1">L382+L385</f>
        <v>0</v>
      </c>
      <c r="M379" s="50">
        <f ca="1">M382+M385</f>
        <v>0</v>
      </c>
      <c r="N379" s="50">
        <f ca="1">N382+N385</f>
        <v>0</v>
      </c>
      <c r="O379" s="50">
        <f ca="1">IF(L379&gt;0,N379*100/L379,0)</f>
        <v>0</v>
      </c>
      <c r="P379" s="50">
        <f ca="1">IF(M379&gt;0,N379*100/M379,0)</f>
        <v>0</v>
      </c>
    </row>
    <row r="380" spans="1:16" ht="18.75" hidden="1" x14ac:dyDescent="0.25">
      <c r="A380" s="136"/>
      <c r="B380" s="41"/>
      <c r="C380" s="41"/>
      <c r="D380" s="278" t="s">
        <v>20</v>
      </c>
      <c r="E380" s="41"/>
      <c r="F380" s="41"/>
      <c r="G380" s="43"/>
      <c r="H380" s="146" t="s">
        <v>12</v>
      </c>
      <c r="I380" s="144"/>
      <c r="J380" s="144"/>
      <c r="K380" s="145"/>
      <c r="L380" s="50">
        <f ca="1">L381+L382</f>
        <v>0</v>
      </c>
      <c r="M380" s="50">
        <f ca="1">M381+M382</f>
        <v>0</v>
      </c>
      <c r="N380" s="50">
        <f ca="1">N381+N382</f>
        <v>0</v>
      </c>
      <c r="O380" s="50">
        <f ca="1">IF(L380&gt;0,N380*100/L380,0)</f>
        <v>0</v>
      </c>
      <c r="P380" s="50">
        <f ca="1">IF(M380&gt;0,N380*100/M380,0)</f>
        <v>0</v>
      </c>
    </row>
    <row r="381" spans="1:16" ht="18.75" hidden="1" x14ac:dyDescent="0.25">
      <c r="A381" s="136"/>
      <c r="B381" s="41"/>
      <c r="C381" s="41"/>
      <c r="D381" s="41"/>
      <c r="E381" s="279" t="s">
        <v>34</v>
      </c>
      <c r="F381" s="41"/>
      <c r="G381" s="43"/>
      <c r="H381" s="146" t="s">
        <v>12</v>
      </c>
      <c r="I381" s="144"/>
      <c r="J381" s="144"/>
      <c r="K381" s="145"/>
      <c r="L381" s="50">
        <v>0</v>
      </c>
      <c r="M381" s="50">
        <v>0</v>
      </c>
      <c r="N381" s="50">
        <v>0</v>
      </c>
      <c r="O381" s="50">
        <f>IF(L381&gt;0,N381*100/L381,0)</f>
        <v>0</v>
      </c>
      <c r="P381" s="50">
        <f>IF(M381&gt;0,N381*100/M381,0)</f>
        <v>0</v>
      </c>
    </row>
    <row r="382" spans="1:16" ht="18.75" hidden="1" x14ac:dyDescent="0.25">
      <c r="A382" s="136"/>
      <c r="B382" s="41"/>
      <c r="C382" s="41"/>
      <c r="D382" s="41"/>
      <c r="E382" s="279" t="s">
        <v>35</v>
      </c>
      <c r="F382" s="41"/>
      <c r="G382" s="43"/>
      <c r="H382" s="146" t="s">
        <v>12</v>
      </c>
      <c r="I382" s="144"/>
      <c r="J382" s="144"/>
      <c r="K382" s="145"/>
      <c r="L382" s="50">
        <f ca="1">IFERROR(__xludf.DUMMYFUNCTION("IMPORTRANGE(""https://docs.google.com/spreadsheets/d/1-uDff_7J0KD5mKrp0Vvzr7lt3OU09vwQwhkpOPPYv2Y/edit?usp=sharing"",""งบพรบ!FM24"")"),0)</f>
        <v>0</v>
      </c>
      <c r="M382" s="50">
        <f ca="1">IFERROR(__xludf.DUMMYFUNCTION("IMPORTRANGE(""https://docs.google.com/spreadsheets/d/1-uDff_7J0KD5mKrp0Vvzr7lt3OU09vwQwhkpOPPYv2Y/edit?usp=sharing"",""งบพรบ!FR24"")"),0)</f>
        <v>0</v>
      </c>
      <c r="N382" s="50">
        <f ca="1">IFERROR(__xludf.DUMMYFUNCTION("IMPORTRANGE(""https://docs.google.com/spreadsheets/d/1-uDff_7J0KD5mKrp0Vvzr7lt3OU09vwQwhkpOPPYv2Y/edit?usp=sharing"",""งบพรบ!FT24"")"),0)</f>
        <v>0</v>
      </c>
      <c r="O382" s="50">
        <f ca="1">IF(L382&gt;0,N382*100/L382,0)</f>
        <v>0</v>
      </c>
      <c r="P382" s="50">
        <f ca="1">IF(M382&gt;0,N382*100/M382,0)</f>
        <v>0</v>
      </c>
    </row>
    <row r="383" spans="1:16" ht="18.75" hidden="1" x14ac:dyDescent="0.25">
      <c r="A383" s="136"/>
      <c r="B383" s="41"/>
      <c r="C383" s="41"/>
      <c r="D383" s="278" t="s">
        <v>21</v>
      </c>
      <c r="E383" s="41"/>
      <c r="F383" s="41"/>
      <c r="G383" s="43"/>
      <c r="H383" s="199" t="s">
        <v>12</v>
      </c>
      <c r="I383" s="144"/>
      <c r="J383" s="144"/>
      <c r="K383" s="145"/>
      <c r="L383" s="50">
        <f ca="1">L384+L385</f>
        <v>0</v>
      </c>
      <c r="M383" s="50">
        <f ca="1">M384+M385</f>
        <v>0</v>
      </c>
      <c r="N383" s="50">
        <f ca="1">N384+N385</f>
        <v>0</v>
      </c>
      <c r="O383" s="50">
        <f ca="1">IF(L383&gt;0,N383*100/L383,0)</f>
        <v>0</v>
      </c>
      <c r="P383" s="50">
        <f ca="1">IF(M383&gt;0,N383*100/M383,0)</f>
        <v>0</v>
      </c>
    </row>
    <row r="384" spans="1:16" ht="18.75" hidden="1" x14ac:dyDescent="0.25">
      <c r="A384" s="136"/>
      <c r="B384" s="41"/>
      <c r="C384" s="41"/>
      <c r="D384" s="41"/>
      <c r="E384" s="279" t="s">
        <v>18</v>
      </c>
      <c r="F384" s="41"/>
      <c r="G384" s="43"/>
      <c r="H384" s="146" t="s">
        <v>12</v>
      </c>
      <c r="I384" s="144"/>
      <c r="J384" s="144"/>
      <c r="K384" s="145"/>
      <c r="L384" s="50">
        <v>0</v>
      </c>
      <c r="M384" s="50">
        <v>0</v>
      </c>
      <c r="N384" s="50">
        <v>0</v>
      </c>
      <c r="O384" s="50">
        <f>IF(L384&gt;0,N384*100/L384,0)</f>
        <v>0</v>
      </c>
      <c r="P384" s="50">
        <f>IF(M384&gt;0,N384*100/M384,0)</f>
        <v>0</v>
      </c>
    </row>
    <row r="385" spans="1:16" ht="18.75" hidden="1" x14ac:dyDescent="0.25">
      <c r="A385" s="136"/>
      <c r="B385" s="41"/>
      <c r="C385" s="41"/>
      <c r="D385" s="41"/>
      <c r="E385" s="279" t="s">
        <v>19</v>
      </c>
      <c r="F385" s="41"/>
      <c r="G385" s="43"/>
      <c r="H385" s="199" t="s">
        <v>12</v>
      </c>
      <c r="I385" s="144"/>
      <c r="J385" s="144"/>
      <c r="K385" s="145"/>
      <c r="L385" s="50">
        <f ca="1">IFERROR(__xludf.DUMMYFUNCTION("IMPORTRANGE(""https://docs.google.com/spreadsheets/d/1-uDff_7J0KD5mKrp0Vvzr7lt3OU09vwQwhkpOPPYv2Y/edit?usp=sharing"",""งบพรบ!FP24"")"),0)</f>
        <v>0</v>
      </c>
      <c r="M385" s="50">
        <f ca="1">IFERROR(__xludf.DUMMYFUNCTION("IMPORTRANGE(""https://docs.google.com/spreadsheets/d/1-uDff_7J0KD5mKrp0Vvzr7lt3OU09vwQwhkpOPPYv2Y/edit?usp=sharing"",""งบพรบ!FS24"")"),0)</f>
        <v>0</v>
      </c>
      <c r="N385" s="50">
        <f ca="1">IFERROR(__xludf.DUMMYFUNCTION("IMPORTRANGE(""https://docs.google.com/spreadsheets/d/1-uDff_7J0KD5mKrp0Vvzr7lt3OU09vwQwhkpOPPYv2Y/edit?usp=sharing"",""งบพรบ!FU24"")"),0)</f>
        <v>0</v>
      </c>
      <c r="O385" s="50">
        <f ca="1">IF(L385&gt;0,N385*100/L385,0)</f>
        <v>0</v>
      </c>
      <c r="P385" s="50">
        <f ca="1">IF(M385&gt;0,N385*100/M385,0)</f>
        <v>0</v>
      </c>
    </row>
    <row r="386" spans="1:16" ht="19.5" hidden="1" x14ac:dyDescent="0.3">
      <c r="A386" s="148"/>
      <c r="B386" s="149"/>
      <c r="C386" s="260" t="s">
        <v>16</v>
      </c>
      <c r="D386" s="394" t="s">
        <v>36</v>
      </c>
      <c r="E386" s="151"/>
      <c r="F386" s="151"/>
      <c r="G386" s="152"/>
      <c r="H386" s="153"/>
      <c r="I386" s="144"/>
      <c r="J386" s="45"/>
      <c r="K386" s="46"/>
      <c r="L386" s="46"/>
      <c r="M386" s="46"/>
      <c r="N386" s="46"/>
      <c r="O386" s="145"/>
      <c r="P386" s="145"/>
    </row>
    <row r="387" spans="1:16" ht="18.75" hidden="1" x14ac:dyDescent="0.25">
      <c r="A387" s="227"/>
      <c r="B387" s="41"/>
      <c r="C387" s="228"/>
      <c r="D387" s="267" t="s">
        <v>150</v>
      </c>
      <c r="E387" s="149"/>
      <c r="F387" s="41"/>
      <c r="G387" s="43"/>
      <c r="H387" s="232" t="s">
        <v>9</v>
      </c>
      <c r="I387" s="200">
        <v>0</v>
      </c>
      <c r="J387" s="201">
        <v>0</v>
      </c>
      <c r="K387" s="50">
        <f>IF(I387&gt;0,J387*100/I387,0)</f>
        <v>0</v>
      </c>
      <c r="L387" s="46"/>
      <c r="M387" s="46"/>
      <c r="N387" s="46"/>
      <c r="O387" s="46"/>
      <c r="P387" s="46"/>
    </row>
    <row r="388" spans="1:16" ht="18.75" hidden="1" x14ac:dyDescent="0.25">
      <c r="A388" s="374"/>
      <c r="B388" s="1"/>
      <c r="C388" s="2"/>
      <c r="D388" s="375" t="s">
        <v>151</v>
      </c>
      <c r="E388" s="281"/>
      <c r="F388" s="1"/>
      <c r="G388" s="54"/>
      <c r="H388" s="376" t="s">
        <v>54</v>
      </c>
      <c r="I388" s="205">
        <v>0</v>
      </c>
      <c r="J388" s="206">
        <v>0</v>
      </c>
      <c r="K388" s="207">
        <f>IF(I388&gt;0,J388*100/I388,0)</f>
        <v>0</v>
      </c>
      <c r="L388" s="57"/>
      <c r="M388" s="57"/>
      <c r="N388" s="57"/>
      <c r="O388" s="57"/>
      <c r="P388" s="57"/>
    </row>
    <row r="389" spans="1:16" ht="12.75" x14ac:dyDescent="0.2">
      <c r="A389" s="168"/>
      <c r="B389" s="168"/>
      <c r="C389" s="168"/>
      <c r="D389" s="168"/>
      <c r="E389" s="168"/>
      <c r="F389" s="168"/>
      <c r="G389" s="168"/>
      <c r="H389" s="168"/>
      <c r="I389" s="168"/>
      <c r="J389" s="168"/>
      <c r="K389" s="168"/>
      <c r="L389" s="168"/>
      <c r="M389" s="168"/>
      <c r="N389" s="168"/>
      <c r="O389" s="168"/>
      <c r="P389" s="168"/>
    </row>
    <row r="390" spans="1:16" ht="16.5" x14ac:dyDescent="0.25">
      <c r="A390" s="377" t="s">
        <v>152</v>
      </c>
      <c r="B390" s="168"/>
      <c r="C390" s="168"/>
      <c r="D390" s="168"/>
      <c r="E390" s="168"/>
      <c r="F390" s="168"/>
      <c r="G390" s="168"/>
      <c r="H390" s="168"/>
      <c r="I390" s="168"/>
      <c r="J390" s="168"/>
      <c r="K390" s="168"/>
      <c r="L390" s="168"/>
      <c r="M390" s="168"/>
      <c r="N390" s="168"/>
      <c r="O390" s="168"/>
      <c r="P390" s="168"/>
    </row>
    <row r="391" spans="1:16" ht="16.5" x14ac:dyDescent="0.25">
      <c r="A391" s="377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8"/>
      <c r="C391" s="168"/>
      <c r="D391" s="168"/>
      <c r="E391" s="168"/>
      <c r="F391" s="168"/>
      <c r="G391" s="168"/>
      <c r="H391" s="168"/>
      <c r="I391" s="168"/>
      <c r="J391" s="168"/>
      <c r="K391" s="168"/>
      <c r="L391" s="168"/>
      <c r="M391" s="168"/>
      <c r="N391" s="168"/>
      <c r="O391" s="168"/>
      <c r="P391" s="16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2" orientation="portrait" r:id="rId1"/>
  <headerFooter>
    <oddFooter>&amp;Cหน้า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1A4C6-58A0-4840-B12F-4DDD208C0BAA}">
  <sheetPr>
    <outlinePr summaryBelow="0" summaryRight="0"/>
  </sheetPr>
  <dimension ref="A1:P391"/>
  <sheetViews>
    <sheetView view="pageBreakPreview" zoomScale="60" zoomScaleNormal="68" workbookViewId="0">
      <pane xSplit="8" ySplit="6" topLeftCell="I17" activePane="bottomRight" state="frozen"/>
      <selection activeCell="P44" sqref="P44"/>
      <selection pane="topRight" activeCell="P44" sqref="P44"/>
      <selection pane="bottomLeft" activeCell="P44" sqref="P44"/>
      <selection pane="bottomRight" activeCell="P44" sqref="P4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3" width="21.5703125" bestFit="1" customWidth="1"/>
    <col min="14" max="14" width="19" bestFit="1" customWidth="1"/>
    <col min="15" max="15" width="17.5703125" customWidth="1"/>
    <col min="16" max="16" width="22.42578125" bestFit="1" customWidth="1"/>
  </cols>
  <sheetData>
    <row r="1" spans="1:16" ht="19.5" x14ac:dyDescent="0.3">
      <c r="A1" s="386" t="s">
        <v>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</row>
    <row r="2" spans="1:16" ht="19.5" x14ac:dyDescent="0.3">
      <c r="A2" s="386" t="s">
        <v>168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</row>
    <row r="3" spans="1:16" ht="19.5" x14ac:dyDescent="0.3">
      <c r="A3" s="386" t="s">
        <v>175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388" t="s">
        <v>2</v>
      </c>
      <c r="B5" s="387"/>
      <c r="C5" s="387"/>
      <c r="D5" s="387"/>
      <c r="E5" s="387"/>
      <c r="F5" s="387"/>
      <c r="G5" s="389"/>
      <c r="H5" s="4" t="s">
        <v>3</v>
      </c>
      <c r="I5" s="391" t="s">
        <v>4</v>
      </c>
      <c r="J5" s="379"/>
      <c r="K5" s="380"/>
      <c r="L5" s="392" t="s">
        <v>5</v>
      </c>
      <c r="M5" s="380"/>
      <c r="N5" s="393" t="s">
        <v>6</v>
      </c>
      <c r="O5" s="379"/>
      <c r="P5" s="380"/>
    </row>
    <row r="6" spans="1:16" ht="19.5" x14ac:dyDescent="0.3">
      <c r="A6" s="390"/>
      <c r="B6" s="379"/>
      <c r="C6" s="379"/>
      <c r="D6" s="379"/>
      <c r="E6" s="379"/>
      <c r="F6" s="379"/>
      <c r="G6" s="380"/>
      <c r="H6" s="5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466" t="s">
        <v>14</v>
      </c>
    </row>
    <row r="7" spans="1:16" ht="12.75" hidden="1" x14ac:dyDescent="0.2">
      <c r="A7" s="381"/>
      <c r="B7" s="379"/>
      <c r="C7" s="379"/>
      <c r="D7" s="379"/>
      <c r="E7" s="379"/>
      <c r="F7" s="379"/>
      <c r="G7" s="380"/>
      <c r="H7" s="12"/>
      <c r="I7" s="13"/>
      <c r="J7" s="13"/>
      <c r="K7" s="14"/>
      <c r="L7" s="14"/>
      <c r="M7" s="14"/>
      <c r="N7" s="14"/>
      <c r="O7" s="14"/>
      <c r="P7" s="14"/>
    </row>
    <row r="8" spans="1:16" ht="12.75" hidden="1" x14ac:dyDescent="0.2">
      <c r="A8" s="15"/>
      <c r="B8" s="16"/>
      <c r="C8" s="16"/>
      <c r="D8" s="16"/>
      <c r="E8" s="16"/>
      <c r="F8" s="16"/>
      <c r="G8" s="17"/>
      <c r="H8" s="17"/>
      <c r="I8" s="18"/>
      <c r="J8" s="18"/>
      <c r="K8" s="19"/>
      <c r="L8" s="19"/>
      <c r="M8" s="19"/>
      <c r="N8" s="19"/>
      <c r="O8" s="19"/>
      <c r="P8" s="19"/>
    </row>
    <row r="9" spans="1:16" ht="12.75" hidden="1" x14ac:dyDescent="0.2">
      <c r="A9" s="15"/>
      <c r="B9" s="16"/>
      <c r="C9" s="16"/>
      <c r="D9" s="16"/>
      <c r="E9" s="16"/>
      <c r="F9" s="16"/>
      <c r="G9" s="17"/>
      <c r="H9" s="17"/>
      <c r="I9" s="18"/>
      <c r="J9" s="18"/>
      <c r="K9" s="19"/>
      <c r="L9" s="19"/>
      <c r="M9" s="19"/>
      <c r="N9" s="19"/>
      <c r="O9" s="19"/>
      <c r="P9" s="19"/>
    </row>
    <row r="10" spans="1:16" ht="12.75" hidden="1" x14ac:dyDescent="0.2">
      <c r="A10" s="15"/>
      <c r="B10" s="16"/>
      <c r="C10" s="16"/>
      <c r="D10" s="16"/>
      <c r="E10" s="16"/>
      <c r="F10" s="16"/>
      <c r="G10" s="17"/>
      <c r="H10" s="17"/>
      <c r="I10" s="18"/>
      <c r="J10" s="18"/>
      <c r="K10" s="19"/>
      <c r="L10" s="19"/>
      <c r="M10" s="19"/>
      <c r="N10" s="19"/>
      <c r="O10" s="19"/>
      <c r="P10" s="19"/>
    </row>
    <row r="11" spans="1:16" ht="12.75" hidden="1" x14ac:dyDescent="0.2">
      <c r="A11" s="15"/>
      <c r="B11" s="16"/>
      <c r="C11" s="16"/>
      <c r="D11" s="16"/>
      <c r="E11" s="16"/>
      <c r="F11" s="16"/>
      <c r="G11" s="17"/>
      <c r="H11" s="17"/>
      <c r="I11" s="18"/>
      <c r="J11" s="18"/>
      <c r="K11" s="19"/>
      <c r="L11" s="19"/>
      <c r="M11" s="19"/>
      <c r="N11" s="19"/>
      <c r="O11" s="19"/>
      <c r="P11" s="19"/>
    </row>
    <row r="12" spans="1:16" ht="12.75" hidden="1" x14ac:dyDescent="0.2">
      <c r="A12" s="15"/>
      <c r="B12" s="16"/>
      <c r="C12" s="16"/>
      <c r="D12" s="16"/>
      <c r="E12" s="16"/>
      <c r="F12" s="16"/>
      <c r="G12" s="17"/>
      <c r="H12" s="17"/>
      <c r="I12" s="18"/>
      <c r="J12" s="18"/>
      <c r="K12" s="19"/>
      <c r="L12" s="19"/>
      <c r="M12" s="19"/>
      <c r="N12" s="19"/>
      <c r="O12" s="19"/>
      <c r="P12" s="19"/>
    </row>
    <row r="13" spans="1:16" ht="12.75" hidden="1" x14ac:dyDescent="0.2">
      <c r="A13" s="15"/>
      <c r="B13" s="16"/>
      <c r="C13" s="16"/>
      <c r="D13" s="16"/>
      <c r="E13" s="16"/>
      <c r="F13" s="16"/>
      <c r="G13" s="17"/>
      <c r="H13" s="17"/>
      <c r="I13" s="18"/>
      <c r="J13" s="18"/>
      <c r="K13" s="19"/>
      <c r="L13" s="19"/>
      <c r="M13" s="19"/>
      <c r="N13" s="19"/>
      <c r="O13" s="19"/>
      <c r="P13" s="19"/>
    </row>
    <row r="14" spans="1:16" ht="12.75" hidden="1" x14ac:dyDescent="0.2">
      <c r="A14" s="15"/>
      <c r="B14" s="16"/>
      <c r="C14" s="16"/>
      <c r="D14" s="16"/>
      <c r="E14" s="16"/>
      <c r="F14" s="16"/>
      <c r="G14" s="17"/>
      <c r="H14" s="17"/>
      <c r="I14" s="18"/>
      <c r="J14" s="18"/>
      <c r="K14" s="19"/>
      <c r="L14" s="19"/>
      <c r="M14" s="19"/>
      <c r="N14" s="19"/>
      <c r="O14" s="19"/>
      <c r="P14" s="19"/>
    </row>
    <row r="15" spans="1:16" ht="12.75" hidden="1" x14ac:dyDescent="0.2">
      <c r="A15" s="15"/>
      <c r="B15" s="16"/>
      <c r="C15" s="16"/>
      <c r="D15" s="16"/>
      <c r="E15" s="16"/>
      <c r="F15" s="16"/>
      <c r="G15" s="17"/>
      <c r="H15" s="17"/>
      <c r="I15" s="18"/>
      <c r="J15" s="18"/>
      <c r="K15" s="19"/>
      <c r="L15" s="19"/>
      <c r="M15" s="19"/>
      <c r="N15" s="19"/>
      <c r="O15" s="19"/>
      <c r="P15" s="19"/>
    </row>
    <row r="16" spans="1:16" ht="12.75" hidden="1" x14ac:dyDescent="0.2">
      <c r="A16" s="20"/>
      <c r="B16" s="21"/>
      <c r="C16" s="21"/>
      <c r="D16" s="21"/>
      <c r="E16" s="21"/>
      <c r="F16" s="21"/>
      <c r="G16" s="12"/>
      <c r="H16" s="12"/>
      <c r="I16" s="13"/>
      <c r="J16" s="13"/>
      <c r="K16" s="14"/>
      <c r="L16" s="14"/>
      <c r="M16" s="14"/>
      <c r="N16" s="14"/>
      <c r="O16" s="14"/>
      <c r="P16" s="14"/>
    </row>
    <row r="17" spans="1:16" ht="19.5" x14ac:dyDescent="0.3">
      <c r="A17" s="378" t="s">
        <v>15</v>
      </c>
      <c r="B17" s="379"/>
      <c r="C17" s="379"/>
      <c r="D17" s="379"/>
      <c r="E17" s="379"/>
      <c r="F17" s="379"/>
      <c r="G17" s="380"/>
      <c r="H17" s="22"/>
      <c r="I17" s="23"/>
      <c r="J17" s="23"/>
      <c r="K17" s="24"/>
      <c r="L17" s="24"/>
      <c r="M17" s="24"/>
      <c r="N17" s="24"/>
      <c r="O17" s="24"/>
      <c r="P17" s="24"/>
    </row>
    <row r="18" spans="1:16" ht="19.5" x14ac:dyDescent="0.3">
      <c r="A18" s="25"/>
      <c r="B18" s="26"/>
      <c r="C18" s="132" t="s">
        <v>16</v>
      </c>
      <c r="D18" s="28" t="s">
        <v>17</v>
      </c>
      <c r="E18" s="26"/>
      <c r="F18" s="26"/>
      <c r="G18" s="29"/>
      <c r="H18" s="30" t="s">
        <v>12</v>
      </c>
      <c r="I18" s="31"/>
      <c r="J18" s="31"/>
      <c r="K18" s="32"/>
      <c r="L18" s="33">
        <f ca="1">L19+L20</f>
        <v>1421235</v>
      </c>
      <c r="M18" s="33">
        <f ca="1">M19+M20</f>
        <v>1093695</v>
      </c>
      <c r="N18" s="33">
        <f ca="1">N19+N20</f>
        <v>331512.04000000004</v>
      </c>
      <c r="O18" s="33">
        <f ca="1">IF(L18&gt;0,N18*100/L18,0)</f>
        <v>23.325631580984147</v>
      </c>
      <c r="P18" s="33">
        <f ca="1">IF(M18&gt;0,N18*100/M18,0)</f>
        <v>30.311196448735711</v>
      </c>
    </row>
    <row r="19" spans="1:16" ht="18.75" hidden="1" x14ac:dyDescent="0.25">
      <c r="A19" s="25"/>
      <c r="B19" s="26"/>
      <c r="C19" s="26"/>
      <c r="D19" s="26"/>
      <c r="E19" s="34" t="s">
        <v>18</v>
      </c>
      <c r="F19" s="26"/>
      <c r="G19" s="29"/>
      <c r="H19" s="35" t="s">
        <v>12</v>
      </c>
      <c r="I19" s="31"/>
      <c r="J19" s="31"/>
      <c r="K19" s="32"/>
      <c r="L19" s="36">
        <f>L22+L25</f>
        <v>0</v>
      </c>
      <c r="M19" s="36">
        <f>M22+M25</f>
        <v>0</v>
      </c>
      <c r="N19" s="36">
        <f>N22+N25</f>
        <v>0</v>
      </c>
      <c r="O19" s="36">
        <f>IF(L19&gt;0,N19*100/L19,0)</f>
        <v>0</v>
      </c>
      <c r="P19" s="36">
        <f>IF(M19&gt;0,N19*100/M19,0)</f>
        <v>0</v>
      </c>
    </row>
    <row r="20" spans="1:16" ht="18.75" x14ac:dyDescent="0.25">
      <c r="A20" s="25"/>
      <c r="B20" s="26"/>
      <c r="C20" s="26"/>
      <c r="D20" s="26"/>
      <c r="E20" s="37" t="s">
        <v>19</v>
      </c>
      <c r="F20" s="26"/>
      <c r="G20" s="29"/>
      <c r="H20" s="38" t="s">
        <v>12</v>
      </c>
      <c r="I20" s="31"/>
      <c r="J20" s="31"/>
      <c r="K20" s="32"/>
      <c r="L20" s="39">
        <f ca="1">L23+L26</f>
        <v>1421235</v>
      </c>
      <c r="M20" s="39">
        <f ca="1">M23+M26</f>
        <v>1093695</v>
      </c>
      <c r="N20" s="39">
        <f ca="1">N23+N26</f>
        <v>331512.04000000004</v>
      </c>
      <c r="O20" s="39">
        <f ca="1">IF(L20&gt;0,N20*100/L20,0)</f>
        <v>23.325631580984147</v>
      </c>
      <c r="P20" s="39">
        <f ca="1">IF(M20&gt;0,N20*100/M20,0)</f>
        <v>30.311196448735711</v>
      </c>
    </row>
    <row r="21" spans="1:16" ht="18.75" x14ac:dyDescent="0.25">
      <c r="A21" s="40"/>
      <c r="B21" s="41"/>
      <c r="C21" s="41"/>
      <c r="D21" s="42" t="s">
        <v>20</v>
      </c>
      <c r="E21" s="41"/>
      <c r="F21" s="41"/>
      <c r="G21" s="43"/>
      <c r="H21" s="44" t="s">
        <v>12</v>
      </c>
      <c r="I21" s="45"/>
      <c r="J21" s="45"/>
      <c r="K21" s="46"/>
      <c r="L21" s="47">
        <f ca="1">L22+L23</f>
        <v>1421235</v>
      </c>
      <c r="M21" s="47">
        <f ca="1">M22+M23</f>
        <v>1093695</v>
      </c>
      <c r="N21" s="47">
        <f ca="1">N22+N23</f>
        <v>331512.04000000004</v>
      </c>
      <c r="O21" s="47">
        <f ca="1">IF(L21&gt;0,N21*100/L21,0)</f>
        <v>23.325631580984147</v>
      </c>
      <c r="P21" s="47">
        <f ca="1">IF(M21&gt;0,N21*100/M21,0)</f>
        <v>30.311196448735711</v>
      </c>
    </row>
    <row r="22" spans="1:16" ht="18.75" hidden="1" x14ac:dyDescent="0.25">
      <c r="A22" s="40"/>
      <c r="B22" s="41"/>
      <c r="C22" s="41"/>
      <c r="D22" s="41"/>
      <c r="E22" s="279" t="s">
        <v>18</v>
      </c>
      <c r="F22" s="41"/>
      <c r="G22" s="43"/>
      <c r="H22" s="49" t="s">
        <v>12</v>
      </c>
      <c r="I22" s="45"/>
      <c r="J22" s="45"/>
      <c r="K22" s="46"/>
      <c r="L22" s="50">
        <f>L48+L63+L76+L98+L129+L143+L161+L190+L177+L270+L286+L307+L324+L337+L360+L381</f>
        <v>0</v>
      </c>
      <c r="M22" s="50">
        <f>M48+M63+M76+M98+M129+M143+M161+M190+M177+M270+M286+M307+M324+M337+M360+M381</f>
        <v>0</v>
      </c>
      <c r="N22" s="50">
        <f>N48+N63+N76+N98+N129+N143+N161+N190+N177+N270+N286+N307+N324+N337+N360+N381</f>
        <v>0</v>
      </c>
      <c r="O22" s="50">
        <f>IF(L22&gt;0,N22*100/L22,0)</f>
        <v>0</v>
      </c>
      <c r="P22" s="50">
        <f>IF(M22&gt;0,N22*100/M22,0)</f>
        <v>0</v>
      </c>
    </row>
    <row r="23" spans="1:16" ht="18.75" x14ac:dyDescent="0.25">
      <c r="A23" s="40"/>
      <c r="B23" s="41"/>
      <c r="C23" s="41"/>
      <c r="D23" s="41"/>
      <c r="E23" s="254" t="s">
        <v>19</v>
      </c>
      <c r="F23" s="41"/>
      <c r="G23" s="43"/>
      <c r="H23" s="44" t="s">
        <v>12</v>
      </c>
      <c r="I23" s="45"/>
      <c r="J23" s="45"/>
      <c r="K23" s="46"/>
      <c r="L23" s="47">
        <f ca="1">L49+L64+L77+L99+L130+L144+L162+L191+L178+L271+L287+L308+L325+L338+L361+L382</f>
        <v>1421235</v>
      </c>
      <c r="M23" s="47">
        <f ca="1">M49+M64+M77+M99+M130+M144+M162+M191+M178+M271+M287+M308+M325+M338+M361+M382</f>
        <v>1093695</v>
      </c>
      <c r="N23" s="47">
        <f ca="1">N49+N64+N77+N99+N130+N144+N162+N191+N178+N271+N287+N308+N325+N338+N361+N382</f>
        <v>331512.04000000004</v>
      </c>
      <c r="O23" s="47">
        <f ca="1">IF(L23&gt;0,N23*100/L23,0)</f>
        <v>23.325631580984147</v>
      </c>
      <c r="P23" s="47">
        <f ca="1">IF(M23&gt;0,N23*100/M23,0)</f>
        <v>30.311196448735711</v>
      </c>
    </row>
    <row r="24" spans="1:16" ht="18.75" x14ac:dyDescent="0.25">
      <c r="A24" s="40"/>
      <c r="B24" s="41"/>
      <c r="C24" s="41"/>
      <c r="D24" s="42" t="s">
        <v>21</v>
      </c>
      <c r="E24" s="41"/>
      <c r="F24" s="41"/>
      <c r="G24" s="43"/>
      <c r="H24" s="44" t="s">
        <v>12</v>
      </c>
      <c r="I24" s="45"/>
      <c r="J24" s="45"/>
      <c r="K24" s="46"/>
      <c r="L24" s="47">
        <f ca="1">L25+L26</f>
        <v>0</v>
      </c>
      <c r="M24" s="47">
        <f ca="1">M25+M26</f>
        <v>0</v>
      </c>
      <c r="N24" s="47">
        <f ca="1">N25+N26</f>
        <v>0</v>
      </c>
      <c r="O24" s="47">
        <f ca="1">IF(L24&gt;0,N24*100/L24,0)</f>
        <v>0</v>
      </c>
      <c r="P24" s="47">
        <f ca="1">IF(M24&gt;0,N24*100/M24,0)</f>
        <v>0</v>
      </c>
    </row>
    <row r="25" spans="1:16" ht="18.75" hidden="1" x14ac:dyDescent="0.25">
      <c r="A25" s="40"/>
      <c r="B25" s="41"/>
      <c r="C25" s="41"/>
      <c r="D25" s="41"/>
      <c r="E25" s="279" t="s">
        <v>18</v>
      </c>
      <c r="F25" s="41"/>
      <c r="G25" s="43"/>
      <c r="H25" s="49" t="s">
        <v>12</v>
      </c>
      <c r="I25" s="45"/>
      <c r="J25" s="45"/>
      <c r="K25" s="46"/>
      <c r="L25" s="50">
        <f>L51+L66+L79+L101+L132+L146+L164+L193+L180+L273+L289+L310+L327+L340+L363+L384</f>
        <v>0</v>
      </c>
      <c r="M25" s="50">
        <f>M51+M66+M79+M101+M132+M146+M164+M193+M180+M273+M289+M310+M327+M340+M363+M384</f>
        <v>0</v>
      </c>
      <c r="N25" s="50">
        <f>N51+N66+N79+N101+N132+N146+N164+N193+N180+N273+N289+N310+N327+N340+N363+N384</f>
        <v>0</v>
      </c>
      <c r="O25" s="50">
        <f>IF(L25&gt;0,N25*100/L25,0)</f>
        <v>0</v>
      </c>
      <c r="P25" s="50">
        <f>IF(M25&gt;0,N25*100/M25,0)</f>
        <v>0</v>
      </c>
    </row>
    <row r="26" spans="1:16" ht="18.75" x14ac:dyDescent="0.25">
      <c r="A26" s="40"/>
      <c r="B26" s="41"/>
      <c r="C26" s="41"/>
      <c r="D26" s="41"/>
      <c r="E26" s="254" t="s">
        <v>19</v>
      </c>
      <c r="F26" s="41"/>
      <c r="G26" s="43"/>
      <c r="H26" s="44" t="s">
        <v>12</v>
      </c>
      <c r="I26" s="45"/>
      <c r="J26" s="45"/>
      <c r="K26" s="46"/>
      <c r="L26" s="47">
        <f ca="1">L52+L67+L80+L102+L133+L147+L165+L194+L181+L274+L290+L311+L328+L341+L364+L385</f>
        <v>0</v>
      </c>
      <c r="M26" s="47">
        <f ca="1">M52+M67+M80+M102+M133+M147+M165+M194+M181+M274+M290+M311+M328+M341+M364+M385</f>
        <v>0</v>
      </c>
      <c r="N26" s="47">
        <f ca="1">N52+N67+N80+N102+N133+N147+N165+N194+N181+N274+N290+N311+N328+N341+N364+N385</f>
        <v>0</v>
      </c>
      <c r="O26" s="47">
        <f ca="1">IF(L26&gt;0,N26*100/L26,0)</f>
        <v>0</v>
      </c>
      <c r="P26" s="47">
        <f ca="1">IF(M26&gt;0,N26*100/M26,0)</f>
        <v>0</v>
      </c>
    </row>
    <row r="27" spans="1:16" ht="18.75" hidden="1" x14ac:dyDescent="0.25">
      <c r="A27" s="40"/>
      <c r="B27" s="41"/>
      <c r="C27" s="41"/>
      <c r="D27" s="42" t="s">
        <v>22</v>
      </c>
      <c r="E27" s="41"/>
      <c r="F27" s="41"/>
      <c r="G27" s="43"/>
      <c r="H27" s="44" t="s">
        <v>12</v>
      </c>
      <c r="I27" s="45"/>
      <c r="J27" s="45"/>
      <c r="K27" s="46"/>
      <c r="L27" s="47"/>
      <c r="M27" s="47"/>
      <c r="N27" s="47"/>
      <c r="O27" s="47"/>
      <c r="P27" s="47"/>
    </row>
    <row r="28" spans="1:16" ht="18.75" hidden="1" x14ac:dyDescent="0.25">
      <c r="A28" s="40"/>
      <c r="B28" s="41"/>
      <c r="C28" s="41"/>
      <c r="D28" s="41"/>
      <c r="E28" s="279" t="s">
        <v>18</v>
      </c>
      <c r="F28" s="41"/>
      <c r="G28" s="43"/>
      <c r="H28" s="49" t="s">
        <v>12</v>
      </c>
      <c r="I28" s="45"/>
      <c r="J28" s="45"/>
      <c r="K28" s="46"/>
      <c r="L28" s="50"/>
      <c r="M28" s="50"/>
      <c r="N28" s="50"/>
      <c r="O28" s="50"/>
      <c r="P28" s="50"/>
    </row>
    <row r="29" spans="1:16" ht="18.75" hidden="1" x14ac:dyDescent="0.25">
      <c r="A29" s="52"/>
      <c r="B29" s="1"/>
      <c r="C29" s="1"/>
      <c r="D29" s="1"/>
      <c r="E29" s="53" t="s">
        <v>19</v>
      </c>
      <c r="F29" s="1"/>
      <c r="G29" s="54"/>
      <c r="H29" s="55" t="s">
        <v>12</v>
      </c>
      <c r="I29" s="56"/>
      <c r="J29" s="56"/>
      <c r="K29" s="57"/>
      <c r="L29" s="58"/>
      <c r="M29" s="58"/>
      <c r="N29" s="58"/>
      <c r="O29" s="58"/>
      <c r="P29" s="58"/>
    </row>
    <row r="30" spans="1:16" ht="12.75" hidden="1" x14ac:dyDescent="0.2">
      <c r="A30" s="381"/>
      <c r="B30" s="379"/>
      <c r="C30" s="379"/>
      <c r="D30" s="379"/>
      <c r="E30" s="379"/>
      <c r="F30" s="379"/>
      <c r="G30" s="380"/>
      <c r="H30" s="12"/>
      <c r="I30" s="13"/>
      <c r="J30" s="13"/>
      <c r="K30" s="14"/>
      <c r="L30" s="14"/>
      <c r="M30" s="14"/>
      <c r="N30" s="14"/>
      <c r="O30" s="14"/>
      <c r="P30" s="14"/>
    </row>
    <row r="31" spans="1:16" ht="12.75" hidden="1" x14ac:dyDescent="0.2">
      <c r="A31" s="15"/>
      <c r="B31" s="16"/>
      <c r="C31" s="16"/>
      <c r="D31" s="16"/>
      <c r="E31" s="16"/>
      <c r="F31" s="16"/>
      <c r="G31" s="17"/>
      <c r="H31" s="17"/>
      <c r="I31" s="18"/>
      <c r="J31" s="18"/>
      <c r="K31" s="19"/>
      <c r="L31" s="19"/>
      <c r="M31" s="19"/>
      <c r="N31" s="19"/>
      <c r="O31" s="19"/>
      <c r="P31" s="19"/>
    </row>
    <row r="32" spans="1:16" ht="12.75" hidden="1" x14ac:dyDescent="0.2">
      <c r="A32" s="15"/>
      <c r="B32" s="16"/>
      <c r="C32" s="16"/>
      <c r="D32" s="16"/>
      <c r="E32" s="16"/>
      <c r="F32" s="16"/>
      <c r="G32" s="17"/>
      <c r="H32" s="17"/>
      <c r="I32" s="18"/>
      <c r="J32" s="18"/>
      <c r="K32" s="19"/>
      <c r="L32" s="19"/>
      <c r="M32" s="19"/>
      <c r="N32" s="19"/>
      <c r="O32" s="19"/>
      <c r="P32" s="19"/>
    </row>
    <row r="33" spans="1:16" ht="12.75" hidden="1" x14ac:dyDescent="0.2">
      <c r="A33" s="15"/>
      <c r="B33" s="16"/>
      <c r="C33" s="16"/>
      <c r="D33" s="16"/>
      <c r="E33" s="16"/>
      <c r="F33" s="16"/>
      <c r="G33" s="17"/>
      <c r="H33" s="17"/>
      <c r="I33" s="18"/>
      <c r="J33" s="18"/>
      <c r="K33" s="19"/>
      <c r="L33" s="19"/>
      <c r="M33" s="19"/>
      <c r="N33" s="19"/>
      <c r="O33" s="19"/>
      <c r="P33" s="19"/>
    </row>
    <row r="34" spans="1:16" ht="12.75" hidden="1" x14ac:dyDescent="0.2">
      <c r="A34" s="15"/>
      <c r="B34" s="16"/>
      <c r="C34" s="16"/>
      <c r="D34" s="16"/>
      <c r="E34" s="16"/>
      <c r="F34" s="16"/>
      <c r="G34" s="17"/>
      <c r="H34" s="17"/>
      <c r="I34" s="18"/>
      <c r="J34" s="18"/>
      <c r="K34" s="19"/>
      <c r="L34" s="19"/>
      <c r="M34" s="19"/>
      <c r="N34" s="19"/>
      <c r="O34" s="19"/>
      <c r="P34" s="19"/>
    </row>
    <row r="35" spans="1:16" ht="12.75" hidden="1" x14ac:dyDescent="0.2">
      <c r="A35" s="15"/>
      <c r="B35" s="16"/>
      <c r="C35" s="16"/>
      <c r="D35" s="16"/>
      <c r="E35" s="16"/>
      <c r="F35" s="16"/>
      <c r="G35" s="17"/>
      <c r="H35" s="17"/>
      <c r="I35" s="18"/>
      <c r="J35" s="18"/>
      <c r="K35" s="19"/>
      <c r="L35" s="19"/>
      <c r="M35" s="19"/>
      <c r="N35" s="19"/>
      <c r="O35" s="19"/>
      <c r="P35" s="19"/>
    </row>
    <row r="36" spans="1:16" ht="12.75" hidden="1" x14ac:dyDescent="0.2">
      <c r="A36" s="15"/>
      <c r="B36" s="16"/>
      <c r="C36" s="16"/>
      <c r="D36" s="16"/>
      <c r="E36" s="16"/>
      <c r="F36" s="16"/>
      <c r="G36" s="17"/>
      <c r="H36" s="17"/>
      <c r="I36" s="18"/>
      <c r="J36" s="18"/>
      <c r="K36" s="19"/>
      <c r="L36" s="19"/>
      <c r="M36" s="19"/>
      <c r="N36" s="19"/>
      <c r="O36" s="19"/>
      <c r="P36" s="19"/>
    </row>
    <row r="37" spans="1:16" ht="12.75" hidden="1" x14ac:dyDescent="0.2">
      <c r="A37" s="15"/>
      <c r="B37" s="16"/>
      <c r="C37" s="16"/>
      <c r="D37" s="16"/>
      <c r="E37" s="16"/>
      <c r="F37" s="16"/>
      <c r="G37" s="17"/>
      <c r="H37" s="17"/>
      <c r="I37" s="18"/>
      <c r="J37" s="18"/>
      <c r="K37" s="19"/>
      <c r="L37" s="19"/>
      <c r="M37" s="19"/>
      <c r="N37" s="19"/>
      <c r="O37" s="19"/>
      <c r="P37" s="19"/>
    </row>
    <row r="38" spans="1:16" ht="12.75" hidden="1" x14ac:dyDescent="0.2">
      <c r="A38" s="15"/>
      <c r="B38" s="16"/>
      <c r="C38" s="16"/>
      <c r="D38" s="16"/>
      <c r="E38" s="16"/>
      <c r="F38" s="16"/>
      <c r="G38" s="17"/>
      <c r="H38" s="17"/>
      <c r="I38" s="18"/>
      <c r="J38" s="18"/>
      <c r="K38" s="19"/>
      <c r="L38" s="19"/>
      <c r="M38" s="19"/>
      <c r="N38" s="19"/>
      <c r="O38" s="19"/>
      <c r="P38" s="19"/>
    </row>
    <row r="39" spans="1:16" ht="12.75" hidden="1" x14ac:dyDescent="0.2">
      <c r="A39" s="20"/>
      <c r="B39" s="21"/>
      <c r="C39" s="21"/>
      <c r="D39" s="21"/>
      <c r="E39" s="21"/>
      <c r="F39" s="21"/>
      <c r="G39" s="12"/>
      <c r="H39" s="12"/>
      <c r="I39" s="13"/>
      <c r="J39" s="13"/>
      <c r="K39" s="14"/>
      <c r="L39" s="14"/>
      <c r="M39" s="14"/>
      <c r="N39" s="14"/>
      <c r="O39" s="14"/>
      <c r="P39" s="14"/>
    </row>
    <row r="40" spans="1:16" ht="19.5" hidden="1" x14ac:dyDescent="0.3">
      <c r="A40" s="59" t="s">
        <v>23</v>
      </c>
      <c r="B40" s="60"/>
      <c r="C40" s="60"/>
      <c r="D40" s="60"/>
      <c r="E40" s="60"/>
      <c r="F40" s="60"/>
      <c r="G40" s="61"/>
      <c r="H40" s="61"/>
      <c r="I40" s="62"/>
      <c r="J40" s="62"/>
      <c r="K40" s="63"/>
      <c r="L40" s="64">
        <f ca="1">L44+L59+L72+L94+L125+L139+L157+L173+L186+L266+L282+L303+L320+L333+L356</f>
        <v>1421235</v>
      </c>
      <c r="M40" s="64">
        <f ca="1">M44+M59+M72+M94+M125+M139+M157+M173+M186+M266+M282+M303+M320+M333+M356</f>
        <v>1093695</v>
      </c>
      <c r="N40" s="64">
        <f ca="1">N44+N59+N72+N94+N125+N139+N157+N173+N186+N266+N282+N303+N320+N333+N356</f>
        <v>331512.04000000004</v>
      </c>
      <c r="O40" s="64">
        <f ca="1">IF(L40&gt;0,N40*100/L40,0)</f>
        <v>23.325631580984147</v>
      </c>
      <c r="P40" s="64">
        <f ca="1">IF(M40&gt;0,N40*100/M40,0)</f>
        <v>30.311196448735711</v>
      </c>
    </row>
    <row r="41" spans="1:16" ht="19.5" x14ac:dyDescent="0.3">
      <c r="A41" s="65" t="s">
        <v>24</v>
      </c>
      <c r="B41" s="66"/>
      <c r="C41" s="66"/>
      <c r="D41" s="66"/>
      <c r="E41" s="66"/>
      <c r="F41" s="66"/>
      <c r="G41" s="66"/>
      <c r="H41" s="66"/>
      <c r="I41" s="67"/>
      <c r="J41" s="67"/>
      <c r="K41" s="68"/>
      <c r="L41" s="68"/>
      <c r="M41" s="68"/>
      <c r="N41" s="68"/>
      <c r="O41" s="68"/>
      <c r="P41" s="69"/>
    </row>
    <row r="42" spans="1:16" ht="19.5" x14ac:dyDescent="0.3">
      <c r="A42" s="70"/>
      <c r="B42" s="71" t="s">
        <v>25</v>
      </c>
      <c r="C42" s="70"/>
      <c r="D42" s="70"/>
      <c r="E42" s="70"/>
      <c r="F42" s="70"/>
      <c r="G42" s="72"/>
      <c r="H42" s="72"/>
      <c r="I42" s="73"/>
      <c r="J42" s="73"/>
      <c r="K42" s="74"/>
      <c r="L42" s="74"/>
      <c r="M42" s="74"/>
      <c r="N42" s="74"/>
      <c r="O42" s="74"/>
      <c r="P42" s="74"/>
    </row>
    <row r="43" spans="1:16" ht="12.75" hidden="1" x14ac:dyDescent="0.2">
      <c r="A43" s="15"/>
      <c r="B43" s="16"/>
      <c r="C43" s="16"/>
      <c r="D43" s="16"/>
      <c r="E43" s="16"/>
      <c r="F43" s="16"/>
      <c r="G43" s="17"/>
      <c r="H43" s="17"/>
      <c r="I43" s="18"/>
      <c r="J43" s="18"/>
      <c r="K43" s="19"/>
      <c r="L43" s="19"/>
      <c r="M43" s="19"/>
      <c r="N43" s="19"/>
      <c r="O43" s="19"/>
      <c r="P43" s="19"/>
    </row>
    <row r="44" spans="1:16" ht="19.5" x14ac:dyDescent="0.3">
      <c r="A44" s="75"/>
      <c r="B44" s="76"/>
      <c r="C44" s="77" t="s">
        <v>16</v>
      </c>
      <c r="D44" s="404" t="s">
        <v>17</v>
      </c>
      <c r="E44" s="76"/>
      <c r="F44" s="76"/>
      <c r="G44" s="79"/>
      <c r="H44" s="80" t="s">
        <v>12</v>
      </c>
      <c r="I44" s="81"/>
      <c r="J44" s="81"/>
      <c r="K44" s="82"/>
      <c r="L44" s="83">
        <f ca="1">L45+L46</f>
        <v>127750</v>
      </c>
      <c r="M44" s="83">
        <f ca="1">M45+M46</f>
        <v>127750</v>
      </c>
      <c r="N44" s="83">
        <f ca="1">N45+N46</f>
        <v>30750</v>
      </c>
      <c r="O44" s="83">
        <f ca="1">IF(L44&gt;0,N44*100/L44,0)</f>
        <v>24.07045009784736</v>
      </c>
      <c r="P44" s="83">
        <f ca="1">IF(M44&gt;0,N44*100/M44,0)</f>
        <v>24.07045009784736</v>
      </c>
    </row>
    <row r="45" spans="1:16" ht="18.75" hidden="1" x14ac:dyDescent="0.25">
      <c r="A45" s="75"/>
      <c r="B45" s="76"/>
      <c r="C45" s="76"/>
      <c r="D45" s="76"/>
      <c r="E45" s="84" t="s">
        <v>18</v>
      </c>
      <c r="F45" s="76"/>
      <c r="G45" s="79"/>
      <c r="H45" s="85" t="s">
        <v>12</v>
      </c>
      <c r="I45" s="81"/>
      <c r="J45" s="81"/>
      <c r="K45" s="82"/>
      <c r="L45" s="86">
        <f>L48+L51</f>
        <v>0</v>
      </c>
      <c r="M45" s="86">
        <f>M48+M51</f>
        <v>0</v>
      </c>
      <c r="N45" s="86">
        <f>N48+N51</f>
        <v>0</v>
      </c>
      <c r="O45" s="86">
        <f>IF(L45&gt;0,N45*100/L45,0)</f>
        <v>0</v>
      </c>
      <c r="P45" s="86">
        <f>IF(M45&gt;0,N45*100/M45,0)</f>
        <v>0</v>
      </c>
    </row>
    <row r="46" spans="1:16" ht="18.75" x14ac:dyDescent="0.25">
      <c r="A46" s="75"/>
      <c r="B46" s="76"/>
      <c r="C46" s="76"/>
      <c r="D46" s="76"/>
      <c r="E46" s="87" t="s">
        <v>19</v>
      </c>
      <c r="F46" s="76"/>
      <c r="G46" s="79"/>
      <c r="H46" s="88" t="s">
        <v>12</v>
      </c>
      <c r="I46" s="81"/>
      <c r="J46" s="81"/>
      <c r="K46" s="82"/>
      <c r="L46" s="89">
        <f ca="1">L49+L52</f>
        <v>127750</v>
      </c>
      <c r="M46" s="89">
        <f ca="1">M49+M52</f>
        <v>127750</v>
      </c>
      <c r="N46" s="89">
        <f ca="1">N49+N52</f>
        <v>30750</v>
      </c>
      <c r="O46" s="89">
        <f ca="1">IF(L46&gt;0,N46*100/L46,0)</f>
        <v>24.07045009784736</v>
      </c>
      <c r="P46" s="89">
        <f ca="1">IF(M46&gt;0,N46*100/M46,0)</f>
        <v>24.07045009784736</v>
      </c>
    </row>
    <row r="47" spans="1:16" ht="18.75" x14ac:dyDescent="0.25">
      <c r="A47" s="40"/>
      <c r="B47" s="41"/>
      <c r="C47" s="41"/>
      <c r="D47" s="42" t="s">
        <v>20</v>
      </c>
      <c r="E47" s="41"/>
      <c r="F47" s="41"/>
      <c r="G47" s="43"/>
      <c r="H47" s="44" t="s">
        <v>12</v>
      </c>
      <c r="I47" s="45"/>
      <c r="J47" s="45"/>
      <c r="K47" s="46"/>
      <c r="L47" s="47">
        <f ca="1">L48+L49</f>
        <v>127750</v>
      </c>
      <c r="M47" s="47">
        <f ca="1">M48+M49</f>
        <v>127750</v>
      </c>
      <c r="N47" s="47">
        <f ca="1">N48+N49</f>
        <v>30750</v>
      </c>
      <c r="O47" s="47">
        <f ca="1">IF(L47&gt;0,N47*100/L47,0)</f>
        <v>24.07045009784736</v>
      </c>
      <c r="P47" s="47">
        <f ca="1">IF(M47&gt;0,N47*100/M47,0)</f>
        <v>24.07045009784736</v>
      </c>
    </row>
    <row r="48" spans="1:16" ht="18.75" hidden="1" x14ac:dyDescent="0.25">
      <c r="A48" s="40"/>
      <c r="B48" s="41"/>
      <c r="C48" s="41"/>
      <c r="D48" s="41"/>
      <c r="E48" s="279" t="s">
        <v>18</v>
      </c>
      <c r="F48" s="41"/>
      <c r="G48" s="43"/>
      <c r="H48" s="49" t="s">
        <v>12</v>
      </c>
      <c r="I48" s="45"/>
      <c r="J48" s="45"/>
      <c r="K48" s="46"/>
      <c r="L48" s="50">
        <v>0</v>
      </c>
      <c r="M48" s="50">
        <v>0</v>
      </c>
      <c r="N48" s="50">
        <v>0</v>
      </c>
      <c r="O48" s="50">
        <f>IF(L48&gt;0,N48*100/L48,0)</f>
        <v>0</v>
      </c>
      <c r="P48" s="50">
        <f>IF(M48&gt;0,N48*100/M48,0)</f>
        <v>0</v>
      </c>
    </row>
    <row r="49" spans="1:16" ht="18.75" x14ac:dyDescent="0.25">
      <c r="A49" s="40"/>
      <c r="B49" s="41"/>
      <c r="C49" s="41"/>
      <c r="D49" s="41"/>
      <c r="E49" s="254" t="s">
        <v>19</v>
      </c>
      <c r="F49" s="41"/>
      <c r="G49" s="43"/>
      <c r="H49" s="44" t="s">
        <v>12</v>
      </c>
      <c r="I49" s="45"/>
      <c r="J49" s="45"/>
      <c r="K49" s="46"/>
      <c r="L49" s="47">
        <f ca="1">IFERROR(__xludf.DUMMYFUNCTION("IMPORTRANGE(""https://docs.google.com/spreadsheets/d/1-uDff_7J0KD5mKrp0Vvzr7lt3OU09vwQwhkpOPPYv2Y/edit?usp=sharing"",""งบพรบ!P25"")"),127750)</f>
        <v>127750</v>
      </c>
      <c r="M49" s="47">
        <f ca="1">IFERROR(__xludf.DUMMYFUNCTION("IMPORTRANGE(""https://docs.google.com/spreadsheets/d/1-uDff_7J0KD5mKrp0Vvzr7lt3OU09vwQwhkpOPPYv2Y/edit?usp=sharing"",""งบพรบ!V25"")"),127750)</f>
        <v>127750</v>
      </c>
      <c r="N49" s="47">
        <f ca="1">IFERROR(__xludf.DUMMYFUNCTION("IMPORTRANGE(""https://docs.google.com/spreadsheets/d/1-uDff_7J0KD5mKrp0Vvzr7lt3OU09vwQwhkpOPPYv2Y/edit?usp=sharing"",""งบพรบ!Y25"")"),30750)</f>
        <v>30750</v>
      </c>
      <c r="O49" s="47">
        <f ca="1">IF(L49&gt;0,N49*100/L49,0)</f>
        <v>24.07045009784736</v>
      </c>
      <c r="P49" s="47">
        <f ca="1">IF(M49&gt;0,N49*100/M49,0)</f>
        <v>24.07045009784736</v>
      </c>
    </row>
    <row r="50" spans="1:16" ht="18.75" x14ac:dyDescent="0.25">
      <c r="A50" s="40"/>
      <c r="B50" s="41"/>
      <c r="C50" s="41"/>
      <c r="D50" s="42" t="s">
        <v>21</v>
      </c>
      <c r="E50" s="41"/>
      <c r="F50" s="41"/>
      <c r="G50" s="43"/>
      <c r="H50" s="44" t="s">
        <v>12</v>
      </c>
      <c r="I50" s="45"/>
      <c r="J50" s="45"/>
      <c r="K50" s="46"/>
      <c r="L50" s="47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</row>
    <row r="51" spans="1:16" ht="18.75" hidden="1" x14ac:dyDescent="0.25">
      <c r="A51" s="40"/>
      <c r="B51" s="41"/>
      <c r="C51" s="41"/>
      <c r="D51" s="41"/>
      <c r="E51" s="279" t="s">
        <v>18</v>
      </c>
      <c r="F51" s="41"/>
      <c r="G51" s="43"/>
      <c r="H51" s="49" t="s">
        <v>12</v>
      </c>
      <c r="I51" s="45"/>
      <c r="J51" s="45"/>
      <c r="K51" s="46"/>
      <c r="L51" s="50">
        <v>0</v>
      </c>
      <c r="M51" s="50">
        <v>0</v>
      </c>
      <c r="N51" s="50">
        <v>0</v>
      </c>
      <c r="O51" s="50">
        <f>IF(L51&gt;0,N51*100/L51,0)</f>
        <v>0</v>
      </c>
      <c r="P51" s="50">
        <f>IF(M51&gt;0,N51*100/M51,0)</f>
        <v>0</v>
      </c>
    </row>
    <row r="52" spans="1:16" ht="18.75" x14ac:dyDescent="0.25">
      <c r="A52" s="40"/>
      <c r="B52" s="41"/>
      <c r="C52" s="41"/>
      <c r="D52" s="41"/>
      <c r="E52" s="254" t="s">
        <v>19</v>
      </c>
      <c r="F52" s="41"/>
      <c r="G52" s="43"/>
      <c r="H52" s="44" t="s">
        <v>12</v>
      </c>
      <c r="I52" s="45"/>
      <c r="J52" s="45"/>
      <c r="K52" s="46"/>
      <c r="L52" s="47">
        <f ca="1">IFERROR(__xludf.DUMMYFUNCTION("IMPORTRANGE(""https://docs.google.com/spreadsheets/d/1-uDff_7J0KD5mKrp0Vvzr7lt3OU09vwQwhkpOPPYv2Y/edit?usp=sharing"",""งบพรบ!S25"")"),0)</f>
        <v>0</v>
      </c>
      <c r="M52" s="47">
        <f ca="1">IFERROR(__xludf.DUMMYFUNCTION("IMPORTRANGE(""https://docs.google.com/spreadsheets/d/1-uDff_7J0KD5mKrp0Vvzr7lt3OU09vwQwhkpOPPYv2Y/edit?usp=sharing"",""งบพรบ!W25"")"),0)</f>
        <v>0</v>
      </c>
      <c r="N52" s="47">
        <f ca="1">IFERROR(__xludf.DUMMYFUNCTION("IMPORTRANGE(""https://docs.google.com/spreadsheets/d/1-uDff_7J0KD5mKrp0Vvzr7lt3OU09vwQwhkpOPPYv2Y/edit?usp=sharing"",""งบพรบ!Z25"")"),0)</f>
        <v>0</v>
      </c>
      <c r="O52" s="47">
        <f ca="1">IF(L52&gt;0,N52*100/L52,0)</f>
        <v>0</v>
      </c>
      <c r="P52" s="47">
        <f ca="1">IF(M52&gt;0,N52*100/M52,0)</f>
        <v>0</v>
      </c>
    </row>
    <row r="53" spans="1:16" ht="18.75" hidden="1" x14ac:dyDescent="0.25">
      <c r="A53" s="40"/>
      <c r="B53" s="41"/>
      <c r="C53" s="41"/>
      <c r="D53" s="42" t="s">
        <v>22</v>
      </c>
      <c r="E53" s="41"/>
      <c r="F53" s="41"/>
      <c r="G53" s="43"/>
      <c r="H53" s="44" t="s">
        <v>12</v>
      </c>
      <c r="I53" s="45"/>
      <c r="J53" s="45"/>
      <c r="K53" s="46"/>
      <c r="L53" s="47"/>
      <c r="M53" s="47"/>
      <c r="N53" s="47"/>
      <c r="O53" s="47"/>
      <c r="P53" s="47"/>
    </row>
    <row r="54" spans="1:16" ht="18.75" hidden="1" x14ac:dyDescent="0.25">
      <c r="A54" s="40"/>
      <c r="B54" s="41"/>
      <c r="C54" s="41"/>
      <c r="D54" s="41"/>
      <c r="E54" s="279" t="s">
        <v>18</v>
      </c>
      <c r="F54" s="41"/>
      <c r="G54" s="43"/>
      <c r="H54" s="49" t="s">
        <v>12</v>
      </c>
      <c r="I54" s="45"/>
      <c r="J54" s="45"/>
      <c r="K54" s="46"/>
      <c r="L54" s="50"/>
      <c r="M54" s="50"/>
      <c r="N54" s="50"/>
      <c r="O54" s="50"/>
      <c r="P54" s="50"/>
    </row>
    <row r="55" spans="1:16" ht="18.75" hidden="1" x14ac:dyDescent="0.25">
      <c r="A55" s="52"/>
      <c r="B55" s="1"/>
      <c r="C55" s="1"/>
      <c r="D55" s="1"/>
      <c r="E55" s="53" t="s">
        <v>19</v>
      </c>
      <c r="F55" s="1"/>
      <c r="G55" s="54"/>
      <c r="H55" s="55" t="s">
        <v>12</v>
      </c>
      <c r="I55" s="56"/>
      <c r="J55" s="56"/>
      <c r="K55" s="57"/>
      <c r="L55" s="58"/>
      <c r="M55" s="58"/>
      <c r="N55" s="58"/>
      <c r="O55" s="58"/>
      <c r="P55" s="58"/>
    </row>
    <row r="56" spans="1:16" ht="19.5" x14ac:dyDescent="0.3">
      <c r="A56" s="382" t="s">
        <v>26</v>
      </c>
      <c r="B56" s="379"/>
      <c r="C56" s="379"/>
      <c r="D56" s="379"/>
      <c r="E56" s="379"/>
      <c r="F56" s="379"/>
      <c r="G56" s="380"/>
      <c r="H56" s="90"/>
      <c r="I56" s="91"/>
      <c r="J56" s="91"/>
      <c r="K56" s="92"/>
      <c r="L56" s="92"/>
      <c r="M56" s="92"/>
      <c r="N56" s="92"/>
      <c r="O56" s="92"/>
      <c r="P56" s="93"/>
    </row>
    <row r="57" spans="1:16" ht="19.5" x14ac:dyDescent="0.3">
      <c r="A57" s="94"/>
      <c r="B57" s="383" t="s">
        <v>27</v>
      </c>
      <c r="C57" s="384"/>
      <c r="D57" s="384"/>
      <c r="E57" s="384"/>
      <c r="F57" s="384"/>
      <c r="G57" s="385"/>
      <c r="H57" s="95"/>
      <c r="I57" s="96"/>
      <c r="J57" s="96"/>
      <c r="K57" s="97"/>
      <c r="L57" s="97"/>
      <c r="M57" s="97"/>
      <c r="N57" s="97"/>
      <c r="O57" s="97"/>
      <c r="P57" s="97"/>
    </row>
    <row r="58" spans="1:16" ht="19.5" x14ac:dyDescent="0.3">
      <c r="A58" s="98"/>
      <c r="B58" s="99" t="s">
        <v>28</v>
      </c>
      <c r="C58" s="100"/>
      <c r="D58" s="100"/>
      <c r="E58" s="100"/>
      <c r="F58" s="100"/>
      <c r="G58" s="101"/>
      <c r="H58" s="101"/>
      <c r="I58" s="102"/>
      <c r="J58" s="102"/>
      <c r="K58" s="103"/>
      <c r="L58" s="103"/>
      <c r="M58" s="103"/>
      <c r="N58" s="103"/>
      <c r="O58" s="103"/>
      <c r="P58" s="103"/>
    </row>
    <row r="59" spans="1:16" ht="19.5" x14ac:dyDescent="0.3">
      <c r="A59" s="104"/>
      <c r="B59" s="105"/>
      <c r="C59" s="106" t="s">
        <v>16</v>
      </c>
      <c r="D59" s="403" t="s">
        <v>17</v>
      </c>
      <c r="E59" s="105"/>
      <c r="F59" s="105"/>
      <c r="G59" s="108"/>
      <c r="H59" s="109" t="s">
        <v>12</v>
      </c>
      <c r="I59" s="110"/>
      <c r="J59" s="110"/>
      <c r="K59" s="111"/>
      <c r="L59" s="112">
        <f ca="1">L60+L61</f>
        <v>456500</v>
      </c>
      <c r="M59" s="112">
        <f ca="1">M60+M61</f>
        <v>344450</v>
      </c>
      <c r="N59" s="112">
        <f ca="1">N60+N61</f>
        <v>192362.6</v>
      </c>
      <c r="O59" s="112">
        <f ca="1">IF(L59&gt;0,N59*100/L59,0)</f>
        <v>42.138576122672511</v>
      </c>
      <c r="P59" s="112">
        <f ca="1">IF(M59&gt;0,N59*100/M59,0)</f>
        <v>55.846305704746698</v>
      </c>
    </row>
    <row r="60" spans="1:16" ht="18.75" hidden="1" x14ac:dyDescent="0.25">
      <c r="A60" s="104"/>
      <c r="B60" s="105"/>
      <c r="C60" s="105"/>
      <c r="D60" s="105"/>
      <c r="E60" s="113" t="s">
        <v>18</v>
      </c>
      <c r="F60" s="105"/>
      <c r="G60" s="108"/>
      <c r="H60" s="114" t="s">
        <v>12</v>
      </c>
      <c r="I60" s="110"/>
      <c r="J60" s="110"/>
      <c r="K60" s="111"/>
      <c r="L60" s="115">
        <f>L63+L66</f>
        <v>0</v>
      </c>
      <c r="M60" s="115">
        <f>M63+M66</f>
        <v>0</v>
      </c>
      <c r="N60" s="115">
        <f>N63+N66</f>
        <v>0</v>
      </c>
      <c r="O60" s="115">
        <f>IF(L60&gt;0,N60*100/L60,0)</f>
        <v>0</v>
      </c>
      <c r="P60" s="115">
        <f>IF(M60&gt;0,N60*100/M60,0)</f>
        <v>0</v>
      </c>
    </row>
    <row r="61" spans="1:16" ht="18.75" x14ac:dyDescent="0.25">
      <c r="A61" s="104"/>
      <c r="B61" s="105"/>
      <c r="C61" s="105"/>
      <c r="D61" s="105"/>
      <c r="E61" s="116" t="s">
        <v>19</v>
      </c>
      <c r="F61" s="105"/>
      <c r="G61" s="108"/>
      <c r="H61" s="117" t="s">
        <v>12</v>
      </c>
      <c r="I61" s="110"/>
      <c r="J61" s="110"/>
      <c r="K61" s="111"/>
      <c r="L61" s="118">
        <f ca="1">L64+L67</f>
        <v>456500</v>
      </c>
      <c r="M61" s="118">
        <f ca="1">M64+M67</f>
        <v>344450</v>
      </c>
      <c r="N61" s="118">
        <f ca="1">N64+N67</f>
        <v>192362.6</v>
      </c>
      <c r="O61" s="118">
        <f ca="1">IF(L61&gt;0,N61*100/L61,0)</f>
        <v>42.138576122672511</v>
      </c>
      <c r="P61" s="118">
        <f ca="1">IF(M61&gt;0,N61*100/M61,0)</f>
        <v>55.846305704746698</v>
      </c>
    </row>
    <row r="62" spans="1:16" ht="18.75" x14ac:dyDescent="0.25">
      <c r="A62" s="40"/>
      <c r="B62" s="41"/>
      <c r="C62" s="41"/>
      <c r="D62" s="42" t="s">
        <v>20</v>
      </c>
      <c r="E62" s="41"/>
      <c r="F62" s="41"/>
      <c r="G62" s="43"/>
      <c r="H62" s="44" t="s">
        <v>12</v>
      </c>
      <c r="I62" s="45"/>
      <c r="J62" s="45"/>
      <c r="K62" s="46"/>
      <c r="L62" s="47">
        <f ca="1">L63+L64</f>
        <v>456500</v>
      </c>
      <c r="M62" s="47">
        <f ca="1">M63+M64</f>
        <v>344450</v>
      </c>
      <c r="N62" s="47">
        <f ca="1">N63+N64</f>
        <v>192362.6</v>
      </c>
      <c r="O62" s="47">
        <f ca="1">IF(L62&gt;0,N62*100/L62,0)</f>
        <v>42.138576122672511</v>
      </c>
      <c r="P62" s="47">
        <f ca="1">IF(M62&gt;0,N62*100/M62,0)</f>
        <v>55.846305704746698</v>
      </c>
    </row>
    <row r="63" spans="1:16" ht="18.75" hidden="1" x14ac:dyDescent="0.25">
      <c r="A63" s="40"/>
      <c r="B63" s="41"/>
      <c r="C63" s="41"/>
      <c r="D63" s="41"/>
      <c r="E63" s="279" t="s">
        <v>18</v>
      </c>
      <c r="F63" s="41"/>
      <c r="G63" s="43"/>
      <c r="H63" s="49" t="s">
        <v>12</v>
      </c>
      <c r="I63" s="45"/>
      <c r="J63" s="45"/>
      <c r="K63" s="46"/>
      <c r="L63" s="50">
        <v>0</v>
      </c>
      <c r="M63" s="50">
        <v>0</v>
      </c>
      <c r="N63" s="50">
        <v>0</v>
      </c>
      <c r="O63" s="50">
        <f>IF(L63&gt;0,N63*100/L63,0)</f>
        <v>0</v>
      </c>
      <c r="P63" s="50">
        <f>IF(M63&gt;0,N63*100/M63,0)</f>
        <v>0</v>
      </c>
    </row>
    <row r="64" spans="1:16" ht="18.75" x14ac:dyDescent="0.25">
      <c r="A64" s="40"/>
      <c r="B64" s="41"/>
      <c r="C64" s="41"/>
      <c r="D64" s="41"/>
      <c r="E64" s="254" t="s">
        <v>19</v>
      </c>
      <c r="F64" s="41"/>
      <c r="G64" s="43"/>
      <c r="H64" s="44" t="s">
        <v>12</v>
      </c>
      <c r="I64" s="45"/>
      <c r="J64" s="45"/>
      <c r="K64" s="46"/>
      <c r="L64" s="47">
        <f ca="1">IFERROR(__xludf.DUMMYFUNCTION("IMPORTRANGE(""https://docs.google.com/spreadsheets/d/1-uDff_7J0KD5mKrp0Vvzr7lt3OU09vwQwhkpOPPYv2Y/edit?usp=sharing"",""งบพรบ!AC25"")"),456500)</f>
        <v>456500</v>
      </c>
      <c r="M64" s="47">
        <f ca="1">IFERROR(__xludf.DUMMYFUNCTION("IMPORTRANGE(""https://docs.google.com/spreadsheets/d/1-uDff_7J0KD5mKrp0Vvzr7lt3OU09vwQwhkpOPPYv2Y/edit?usp=sharing"",""งบพรบ!AH25"")"),344450)</f>
        <v>344450</v>
      </c>
      <c r="N64" s="47">
        <f ca="1">IFERROR(__xludf.DUMMYFUNCTION("IMPORTRANGE(""https://docs.google.com/spreadsheets/d/1-uDff_7J0KD5mKrp0Vvzr7lt3OU09vwQwhkpOPPYv2Y/edit?usp=sharing"",""งบพรบ!AJ25"")"),192362.6)</f>
        <v>192362.6</v>
      </c>
      <c r="O64" s="47">
        <f ca="1">IF(L64&gt;0,N64*100/L64,0)</f>
        <v>42.138576122672511</v>
      </c>
      <c r="P64" s="47">
        <f ca="1">IF(M64&gt;0,N64*100/M64,0)</f>
        <v>55.846305704746698</v>
      </c>
    </row>
    <row r="65" spans="1:16" ht="18.75" x14ac:dyDescent="0.25">
      <c r="A65" s="40"/>
      <c r="B65" s="41"/>
      <c r="C65" s="41"/>
      <c r="D65" s="42" t="s">
        <v>21</v>
      </c>
      <c r="E65" s="41"/>
      <c r="F65" s="41"/>
      <c r="G65" s="43"/>
      <c r="H65" s="44" t="s">
        <v>12</v>
      </c>
      <c r="I65" s="45"/>
      <c r="J65" s="45"/>
      <c r="K65" s="46"/>
      <c r="L65" s="47">
        <f ca="1">L66+L67</f>
        <v>0</v>
      </c>
      <c r="M65" s="47">
        <f ca="1">M66+M67</f>
        <v>0</v>
      </c>
      <c r="N65" s="47">
        <f ca="1">N66+N67</f>
        <v>0</v>
      </c>
      <c r="O65" s="47">
        <f ca="1">IF(L65&gt;0,N65*100/L65,0)</f>
        <v>0</v>
      </c>
      <c r="P65" s="47">
        <f ca="1">IF(M65&gt;0,N65*100/M65,0)</f>
        <v>0</v>
      </c>
    </row>
    <row r="66" spans="1:16" ht="18.75" hidden="1" x14ac:dyDescent="0.25">
      <c r="A66" s="40"/>
      <c r="B66" s="41"/>
      <c r="C66" s="41"/>
      <c r="D66" s="41"/>
      <c r="E66" s="279" t="s">
        <v>18</v>
      </c>
      <c r="F66" s="41"/>
      <c r="G66" s="43"/>
      <c r="H66" s="49" t="s">
        <v>12</v>
      </c>
      <c r="I66" s="45"/>
      <c r="J66" s="45"/>
      <c r="K66" s="46"/>
      <c r="L66" s="50">
        <v>0</v>
      </c>
      <c r="M66" s="50">
        <v>0</v>
      </c>
      <c r="N66" s="50">
        <v>0</v>
      </c>
      <c r="O66" s="50">
        <f>IF(L66&gt;0,N66*100/L66,0)</f>
        <v>0</v>
      </c>
      <c r="P66" s="50">
        <f>IF(M66&gt;0,N66*100/M66,0)</f>
        <v>0</v>
      </c>
    </row>
    <row r="67" spans="1:16" ht="18.75" x14ac:dyDescent="0.25">
      <c r="A67" s="52"/>
      <c r="B67" s="1"/>
      <c r="C67" s="1"/>
      <c r="D67" s="1"/>
      <c r="E67" s="53" t="s">
        <v>19</v>
      </c>
      <c r="F67" s="1"/>
      <c r="G67" s="54"/>
      <c r="H67" s="55" t="s">
        <v>12</v>
      </c>
      <c r="I67" s="56"/>
      <c r="J67" s="56"/>
      <c r="K67" s="57"/>
      <c r="L67" s="58">
        <f ca="1">IFERROR(__xludf.DUMMYFUNCTION("IMPORTRANGE(""https://docs.google.com/spreadsheets/d/1-uDff_7J0KD5mKrp0Vvzr7lt3OU09vwQwhkpOPPYv2Y/edit?usp=sharing"",""งบพรบ!AF25"")"),0)</f>
        <v>0</v>
      </c>
      <c r="M67" s="58">
        <f ca="1">IFERROR(__xludf.DUMMYFUNCTION("IMPORTRANGE(""https://docs.google.com/spreadsheets/d/1-uDff_7J0KD5mKrp0Vvzr7lt3OU09vwQwhkpOPPYv2Y/edit?usp=sharing"",""งบพรบ!AI25"")"),0)</f>
        <v>0</v>
      </c>
      <c r="N67" s="58">
        <f ca="1">IFERROR(__xludf.DUMMYFUNCTION("IMPORTRANGE(""https://docs.google.com/spreadsheets/d/1-uDff_7J0KD5mKrp0Vvzr7lt3OU09vwQwhkpOPPYv2Y/edit?usp=sharing"",""งบพรบ!AK25"")"),0)</f>
        <v>0</v>
      </c>
      <c r="O67" s="58">
        <f ca="1">IF(L67&gt;0,N67*100/L67,0)</f>
        <v>0</v>
      </c>
      <c r="P67" s="58">
        <f ca="1">IF(M67&gt;0,N67*100/M67,0)</f>
        <v>0</v>
      </c>
    </row>
    <row r="68" spans="1:16" ht="19.5" hidden="1" x14ac:dyDescent="0.3">
      <c r="A68" s="119" t="s">
        <v>29</v>
      </c>
      <c r="B68" s="120"/>
      <c r="C68" s="120"/>
      <c r="D68" s="120"/>
      <c r="E68" s="121"/>
      <c r="F68" s="121"/>
      <c r="G68" s="121"/>
      <c r="H68" s="121"/>
      <c r="I68" s="122"/>
      <c r="J68" s="122"/>
      <c r="K68" s="123"/>
      <c r="L68" s="123"/>
      <c r="M68" s="123"/>
      <c r="N68" s="123"/>
      <c r="O68" s="123"/>
      <c r="P68" s="124"/>
    </row>
    <row r="69" spans="1:16" ht="19.5" hidden="1" x14ac:dyDescent="0.3">
      <c r="A69" s="125" t="s">
        <v>30</v>
      </c>
      <c r="B69" s="126"/>
      <c r="C69" s="127"/>
      <c r="D69" s="126"/>
      <c r="E69" s="126"/>
      <c r="F69" s="126"/>
      <c r="G69" s="128"/>
      <c r="H69" s="128"/>
      <c r="I69" s="129"/>
      <c r="J69" s="129"/>
      <c r="K69" s="130"/>
      <c r="L69" s="130"/>
      <c r="M69" s="130"/>
      <c r="N69" s="130"/>
      <c r="O69" s="130"/>
      <c r="P69" s="130"/>
    </row>
    <row r="70" spans="1:16" ht="19.5" hidden="1" x14ac:dyDescent="0.3">
      <c r="A70" s="131"/>
      <c r="B70" s="132" t="s">
        <v>31</v>
      </c>
      <c r="C70" s="26"/>
      <c r="D70" s="133"/>
      <c r="E70" s="26"/>
      <c r="F70" s="26"/>
      <c r="G70" s="29"/>
      <c r="H70" s="134" t="s">
        <v>32</v>
      </c>
      <c r="I70" s="135">
        <f ca="1">I82</f>
        <v>0</v>
      </c>
      <c r="J70" s="135">
        <f>J82</f>
        <v>0</v>
      </c>
      <c r="K70" s="33">
        <f ca="1">IF(I70&gt;0,J70*100/I70,0)</f>
        <v>0</v>
      </c>
      <c r="L70" s="32"/>
      <c r="M70" s="32"/>
      <c r="N70" s="32"/>
      <c r="O70" s="32"/>
      <c r="P70" s="32"/>
    </row>
    <row r="71" spans="1:16" ht="19.5" hidden="1" x14ac:dyDescent="0.3">
      <c r="A71" s="131"/>
      <c r="B71" s="26"/>
      <c r="C71" s="26"/>
      <c r="D71" s="133"/>
      <c r="E71" s="26"/>
      <c r="F71" s="26"/>
      <c r="G71" s="29"/>
      <c r="H71" s="134" t="s">
        <v>33</v>
      </c>
      <c r="I71" s="135">
        <f ca="1">I83</f>
        <v>0</v>
      </c>
      <c r="J71" s="135">
        <f>J83</f>
        <v>0</v>
      </c>
      <c r="K71" s="33">
        <f ca="1">IF(I71&gt;0,J71*100/I71,0)</f>
        <v>0</v>
      </c>
      <c r="L71" s="32"/>
      <c r="M71" s="32"/>
      <c r="N71" s="32"/>
      <c r="O71" s="32"/>
      <c r="P71" s="32"/>
    </row>
    <row r="72" spans="1:16" ht="19.5" hidden="1" x14ac:dyDescent="0.3">
      <c r="A72" s="136"/>
      <c r="B72" s="41"/>
      <c r="C72" s="197" t="s">
        <v>16</v>
      </c>
      <c r="D72" s="397" t="s">
        <v>17</v>
      </c>
      <c r="E72" s="41"/>
      <c r="F72" s="41"/>
      <c r="G72" s="43"/>
      <c r="H72" s="139" t="s">
        <v>12</v>
      </c>
      <c r="I72" s="45"/>
      <c r="J72" s="45"/>
      <c r="K72" s="46"/>
      <c r="L72" s="140">
        <f ca="1">L73+L74</f>
        <v>0</v>
      </c>
      <c r="M72" s="140">
        <f ca="1">M73+M74</f>
        <v>0</v>
      </c>
      <c r="N72" s="140">
        <f ca="1">N73+N74</f>
        <v>0</v>
      </c>
      <c r="O72" s="140">
        <f ca="1">IF(L72&gt;0,N72*100/L72,0)</f>
        <v>0</v>
      </c>
      <c r="P72" s="140">
        <f ca="1">IF(M72&gt;0,N72*100/M72,0)</f>
        <v>0</v>
      </c>
    </row>
    <row r="73" spans="1:16" ht="18.75" hidden="1" x14ac:dyDescent="0.25">
      <c r="A73" s="136"/>
      <c r="B73" s="41"/>
      <c r="C73" s="41"/>
      <c r="D73" s="41"/>
      <c r="E73" s="279" t="s">
        <v>18</v>
      </c>
      <c r="F73" s="41"/>
      <c r="G73" s="43"/>
      <c r="H73" s="141" t="s">
        <v>12</v>
      </c>
      <c r="I73" s="45"/>
      <c r="J73" s="45"/>
      <c r="K73" s="46"/>
      <c r="L73" s="50">
        <f>L76+L79</f>
        <v>0</v>
      </c>
      <c r="M73" s="50">
        <f>M76+M79</f>
        <v>0</v>
      </c>
      <c r="N73" s="50">
        <f>N76+N79</f>
        <v>0</v>
      </c>
      <c r="O73" s="50">
        <f>IF(L73&gt;0,N73*100/L73,0)</f>
        <v>0</v>
      </c>
      <c r="P73" s="50">
        <f>IF(M73&gt;0,N73*100/M73,0)</f>
        <v>0</v>
      </c>
    </row>
    <row r="74" spans="1:16" ht="18.75" hidden="1" x14ac:dyDescent="0.25">
      <c r="A74" s="136"/>
      <c r="B74" s="41"/>
      <c r="C74" s="41"/>
      <c r="D74" s="41"/>
      <c r="E74" s="254" t="s">
        <v>19</v>
      </c>
      <c r="F74" s="41"/>
      <c r="G74" s="43"/>
      <c r="H74" s="142" t="s">
        <v>12</v>
      </c>
      <c r="I74" s="45"/>
      <c r="J74" s="45"/>
      <c r="K74" s="46"/>
      <c r="L74" s="47">
        <f ca="1">L77+L80</f>
        <v>0</v>
      </c>
      <c r="M74" s="47">
        <f ca="1">M77+M80</f>
        <v>0</v>
      </c>
      <c r="N74" s="47">
        <f ca="1">N77+N80</f>
        <v>0</v>
      </c>
      <c r="O74" s="47">
        <f ca="1">IF(L74&gt;0,N74*100/L74,0)</f>
        <v>0</v>
      </c>
      <c r="P74" s="47">
        <f ca="1">IF(M74&gt;0,N74*100/M74,0)</f>
        <v>0</v>
      </c>
    </row>
    <row r="75" spans="1:16" ht="18.75" hidden="1" x14ac:dyDescent="0.25">
      <c r="A75" s="136"/>
      <c r="B75" s="41"/>
      <c r="C75" s="41"/>
      <c r="D75" s="42" t="s">
        <v>20</v>
      </c>
      <c r="E75" s="41"/>
      <c r="F75" s="41"/>
      <c r="G75" s="43"/>
      <c r="H75" s="143" t="s">
        <v>12</v>
      </c>
      <c r="I75" s="144"/>
      <c r="J75" s="144"/>
      <c r="K75" s="145"/>
      <c r="L75" s="47">
        <f ca="1">L76+L77</f>
        <v>0</v>
      </c>
      <c r="M75" s="47">
        <f ca="1">M76+M77</f>
        <v>0</v>
      </c>
      <c r="N75" s="47">
        <f ca="1">N76+N77</f>
        <v>0</v>
      </c>
      <c r="O75" s="47">
        <f ca="1">IF(L75&gt;0,N75*100/L75,0)</f>
        <v>0</v>
      </c>
      <c r="P75" s="47">
        <f ca="1">IF(M75&gt;0,N75*100/M75,0)</f>
        <v>0</v>
      </c>
    </row>
    <row r="76" spans="1:16" ht="18.75" hidden="1" x14ac:dyDescent="0.25">
      <c r="A76" s="136"/>
      <c r="B76" s="41"/>
      <c r="C76" s="41"/>
      <c r="D76" s="41"/>
      <c r="E76" s="279" t="s">
        <v>34</v>
      </c>
      <c r="F76" s="41"/>
      <c r="G76" s="43"/>
      <c r="H76" s="146" t="s">
        <v>12</v>
      </c>
      <c r="I76" s="144"/>
      <c r="J76" s="144"/>
      <c r="K76" s="145"/>
      <c r="L76" s="50">
        <v>0</v>
      </c>
      <c r="M76" s="50">
        <v>0</v>
      </c>
      <c r="N76" s="50">
        <v>0</v>
      </c>
      <c r="O76" s="50">
        <f>IF(L76&gt;0,N76*100/L76,0)</f>
        <v>0</v>
      </c>
      <c r="P76" s="50">
        <f>IF(M76&gt;0,N76*100/M76,0)</f>
        <v>0</v>
      </c>
    </row>
    <row r="77" spans="1:16" ht="18.75" hidden="1" x14ac:dyDescent="0.25">
      <c r="A77" s="136"/>
      <c r="B77" s="41"/>
      <c r="C77" s="41"/>
      <c r="D77" s="41"/>
      <c r="E77" s="254" t="s">
        <v>35</v>
      </c>
      <c r="F77" s="41"/>
      <c r="G77" s="43"/>
      <c r="H77" s="143" t="s">
        <v>12</v>
      </c>
      <c r="I77" s="144"/>
      <c r="J77" s="144"/>
      <c r="K77" s="145"/>
      <c r="L77" s="47">
        <f ca="1">IFERROR(__xludf.DUMMYFUNCTION("IMPORTRANGE(""https://docs.google.com/spreadsheets/d/1-uDff_7J0KD5mKrp0Vvzr7lt3OU09vwQwhkpOPPYv2Y/edit?usp=sharing"",""งบพรบ!AM25"")"),0)</f>
        <v>0</v>
      </c>
      <c r="M77" s="47">
        <f ca="1">IFERROR(__xludf.DUMMYFUNCTION("IMPORTRANGE(""https://docs.google.com/spreadsheets/d/1-uDff_7J0KD5mKrp0Vvzr7lt3OU09vwQwhkpOPPYv2Y/edit?usp=sharing"",""งบพรบ!AR25"")"),0)</f>
        <v>0</v>
      </c>
      <c r="N77" s="47">
        <f ca="1">IFERROR(__xludf.DUMMYFUNCTION("IMPORTRANGE(""https://docs.google.com/spreadsheets/d/1-uDff_7J0KD5mKrp0Vvzr7lt3OU09vwQwhkpOPPYv2Y/edit?usp=sharing"",""งบพรบ!AT25"")"),0)</f>
        <v>0</v>
      </c>
      <c r="O77" s="47">
        <f ca="1">IF(L77&gt;0,N77*100/L77,0)</f>
        <v>0</v>
      </c>
      <c r="P77" s="47">
        <f ca="1">IF(M77&gt;0,N77*100/M77,0)</f>
        <v>0</v>
      </c>
    </row>
    <row r="78" spans="1:16" ht="18.75" hidden="1" x14ac:dyDescent="0.25">
      <c r="A78" s="136"/>
      <c r="B78" s="41"/>
      <c r="C78" s="41"/>
      <c r="D78" s="42" t="s">
        <v>21</v>
      </c>
      <c r="E78" s="41"/>
      <c r="F78" s="41"/>
      <c r="G78" s="43"/>
      <c r="H78" s="147" t="s">
        <v>12</v>
      </c>
      <c r="I78" s="144"/>
      <c r="J78" s="144"/>
      <c r="K78" s="145"/>
      <c r="L78" s="47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</row>
    <row r="79" spans="1:16" ht="18.75" hidden="1" x14ac:dyDescent="0.25">
      <c r="A79" s="136"/>
      <c r="B79" s="41"/>
      <c r="C79" s="41"/>
      <c r="D79" s="41"/>
      <c r="E79" s="279" t="s">
        <v>18</v>
      </c>
      <c r="F79" s="41"/>
      <c r="G79" s="43"/>
      <c r="H79" s="146" t="s">
        <v>12</v>
      </c>
      <c r="I79" s="144"/>
      <c r="J79" s="144"/>
      <c r="K79" s="145"/>
      <c r="L79" s="50">
        <v>0</v>
      </c>
      <c r="M79" s="46"/>
      <c r="N79" s="46"/>
      <c r="O79" s="50">
        <f>IF(L79&gt;0,N79*100/L79,0)</f>
        <v>0</v>
      </c>
      <c r="P79" s="50">
        <f>IF(M79&gt;0,N79*100/M79,0)</f>
        <v>0</v>
      </c>
    </row>
    <row r="80" spans="1:16" ht="18.75" hidden="1" x14ac:dyDescent="0.25">
      <c r="A80" s="136"/>
      <c r="B80" s="41"/>
      <c r="C80" s="41"/>
      <c r="D80" s="41"/>
      <c r="E80" s="254" t="s">
        <v>19</v>
      </c>
      <c r="F80" s="41"/>
      <c r="G80" s="43"/>
      <c r="H80" s="147" t="s">
        <v>12</v>
      </c>
      <c r="I80" s="144"/>
      <c r="J80" s="144"/>
      <c r="K80" s="145"/>
      <c r="L80" s="47">
        <f ca="1">IFERROR(__xludf.DUMMYFUNCTION("IMPORTRANGE(""https://docs.google.com/spreadsheets/d/1-uDff_7J0KD5mKrp0Vvzr7lt3OU09vwQwhkpOPPYv2Y/edit?usp=sharing"",""งบพรบ!AP25"")"),0)</f>
        <v>0</v>
      </c>
      <c r="M80" s="47">
        <f ca="1">IFERROR(__xludf.DUMMYFUNCTION("IMPORTRANGE(""https://docs.google.com/spreadsheets/d/1-uDff_7J0KD5mKrp0Vvzr7lt3OU09vwQwhkpOPPYv2Y/edit?usp=sharing"",""งบพรบ!AS25"")"),0)</f>
        <v>0</v>
      </c>
      <c r="N80" s="47">
        <f ca="1">IFERROR(__xludf.DUMMYFUNCTION("IMPORTRANGE(""https://docs.google.com/spreadsheets/d/1-uDff_7J0KD5mKrp0Vvzr7lt3OU09vwQwhkpOPPYv2Y/edit?usp=sharing"",""งบพรบ!AU25"")"),0)</f>
        <v>0</v>
      </c>
      <c r="O80" s="47">
        <f ca="1">IF(L80&gt;0,N80*100/L80,0)</f>
        <v>0</v>
      </c>
      <c r="P80" s="47">
        <f ca="1">IF(M80&gt;0,N80*100/M80,0)</f>
        <v>0</v>
      </c>
    </row>
    <row r="81" spans="1:16" ht="19.5" hidden="1" x14ac:dyDescent="0.3">
      <c r="A81" s="148"/>
      <c r="B81" s="149"/>
      <c r="C81" s="197" t="s">
        <v>16</v>
      </c>
      <c r="D81" s="395" t="s">
        <v>36</v>
      </c>
      <c r="E81" s="151"/>
      <c r="F81" s="151"/>
      <c r="G81" s="152"/>
      <c r="H81" s="153"/>
      <c r="I81" s="144"/>
      <c r="J81" s="144"/>
      <c r="K81" s="145"/>
      <c r="L81" s="145"/>
      <c r="M81" s="145"/>
      <c r="N81" s="145"/>
      <c r="O81" s="145"/>
      <c r="P81" s="145"/>
    </row>
    <row r="82" spans="1:16" ht="19.5" hidden="1" x14ac:dyDescent="0.3">
      <c r="A82" s="148"/>
      <c r="B82" s="149"/>
      <c r="C82" s="149"/>
      <c r="D82" s="154" t="s">
        <v>37</v>
      </c>
      <c r="E82" s="155"/>
      <c r="F82" s="155"/>
      <c r="G82" s="153"/>
      <c r="H82" s="156" t="s">
        <v>32</v>
      </c>
      <c r="I82" s="157">
        <f ca="1">I84+I86+I88</f>
        <v>0</v>
      </c>
      <c r="J82" s="157">
        <f>J84+J86+J88</f>
        <v>0</v>
      </c>
      <c r="K82" s="158">
        <f ca="1">IF(I82&gt;0,J82*100/I82,0)</f>
        <v>0</v>
      </c>
      <c r="L82" s="145"/>
      <c r="M82" s="145"/>
      <c r="N82" s="145"/>
      <c r="O82" s="145"/>
      <c r="P82" s="145"/>
    </row>
    <row r="83" spans="1:16" ht="19.5" hidden="1" x14ac:dyDescent="0.3">
      <c r="A83" s="148"/>
      <c r="B83" s="149"/>
      <c r="C83" s="149"/>
      <c r="D83" s="149"/>
      <c r="E83" s="155"/>
      <c r="F83" s="155"/>
      <c r="G83" s="153"/>
      <c r="H83" s="156" t="s">
        <v>33</v>
      </c>
      <c r="I83" s="157">
        <f ca="1">I85+I87+I89</f>
        <v>0</v>
      </c>
      <c r="J83" s="157">
        <f>J85+J87+J89</f>
        <v>0</v>
      </c>
      <c r="K83" s="158">
        <f ca="1">IF(I83&gt;0,J83*100/I83,0)</f>
        <v>0</v>
      </c>
      <c r="L83" s="145"/>
      <c r="M83" s="145"/>
      <c r="N83" s="145"/>
      <c r="O83" s="145"/>
      <c r="P83" s="145"/>
    </row>
    <row r="84" spans="1:16" ht="18.75" hidden="1" x14ac:dyDescent="0.25">
      <c r="A84" s="148"/>
      <c r="B84" s="149"/>
      <c r="C84" s="149"/>
      <c r="D84" s="149"/>
      <c r="E84" s="159" t="s">
        <v>38</v>
      </c>
      <c r="F84" s="155"/>
      <c r="G84" s="153"/>
      <c r="H84" s="251" t="s">
        <v>32</v>
      </c>
      <c r="I84" s="161">
        <f ca="1">IFERROR(__xludf.DUMMYFUNCTION("IMPORTRANGE(""https://docs.google.com/spreadsheets/d/1eHaY18a8A9IcSdp1K8H6x8fbOy06t2VsZHhMHf-1x7Y/edit?usp=sharing"",""แผน!H25"")"),0)</f>
        <v>0</v>
      </c>
      <c r="J84" s="250">
        <v>0</v>
      </c>
      <c r="K84" s="163">
        <f ca="1">IF(I84&gt;0,J84*100/I84,0)</f>
        <v>0</v>
      </c>
      <c r="L84" s="145"/>
      <c r="M84" s="145"/>
      <c r="N84" s="145"/>
      <c r="O84" s="145"/>
      <c r="P84" s="145"/>
    </row>
    <row r="85" spans="1:16" ht="18.75" hidden="1" x14ac:dyDescent="0.25">
      <c r="A85" s="148"/>
      <c r="B85" s="149"/>
      <c r="C85" s="149"/>
      <c r="D85" s="149"/>
      <c r="E85" s="155"/>
      <c r="F85" s="155"/>
      <c r="G85" s="153"/>
      <c r="H85" s="251" t="s">
        <v>33</v>
      </c>
      <c r="I85" s="161">
        <f ca="1">IFERROR(__xludf.DUMMYFUNCTION("IMPORTRANGE(""https://docs.google.com/spreadsheets/d/1eHaY18a8A9IcSdp1K8H6x8fbOy06t2VsZHhMHf-1x7Y/edit?usp=sharing"",""แผน!I25"")"),0)</f>
        <v>0</v>
      </c>
      <c r="J85" s="250">
        <v>0</v>
      </c>
      <c r="K85" s="163">
        <f ca="1">IF(I85&gt;0,J85*100/I85,0)</f>
        <v>0</v>
      </c>
      <c r="L85" s="145"/>
      <c r="M85" s="145"/>
      <c r="N85" s="145"/>
      <c r="O85" s="145"/>
      <c r="P85" s="145"/>
    </row>
    <row r="86" spans="1:16" ht="18.75" hidden="1" x14ac:dyDescent="0.25">
      <c r="A86" s="148"/>
      <c r="B86" s="149"/>
      <c r="C86" s="149"/>
      <c r="D86" s="149"/>
      <c r="E86" s="159" t="s">
        <v>39</v>
      </c>
      <c r="F86" s="155"/>
      <c r="G86" s="153"/>
      <c r="H86" s="251" t="s">
        <v>32</v>
      </c>
      <c r="I86" s="161">
        <f ca="1">IFERROR(__xludf.DUMMYFUNCTION("IMPORTRANGE(""https://docs.google.com/spreadsheets/d/1eHaY18a8A9IcSdp1K8H6x8fbOy06t2VsZHhMHf-1x7Y/edit?usp=sharing"",""แผน!F25"")"),0)</f>
        <v>0</v>
      </c>
      <c r="J86" s="250">
        <v>0</v>
      </c>
      <c r="K86" s="163">
        <f ca="1">IF(I86&gt;0,J86*100/I86,0)</f>
        <v>0</v>
      </c>
      <c r="L86" s="145"/>
      <c r="M86" s="145"/>
      <c r="N86" s="145"/>
      <c r="O86" s="145"/>
      <c r="P86" s="145"/>
    </row>
    <row r="87" spans="1:16" ht="18.75" hidden="1" x14ac:dyDescent="0.25">
      <c r="A87" s="148"/>
      <c r="B87" s="149"/>
      <c r="C87" s="149"/>
      <c r="D87" s="149"/>
      <c r="E87" s="155"/>
      <c r="F87" s="155"/>
      <c r="G87" s="153"/>
      <c r="H87" s="251" t="s">
        <v>33</v>
      </c>
      <c r="I87" s="161">
        <f ca="1">IFERROR(__xludf.DUMMYFUNCTION("IMPORTRANGE(""https://docs.google.com/spreadsheets/d/1eHaY18a8A9IcSdp1K8H6x8fbOy06t2VsZHhMHf-1x7Y/edit?usp=sharing"",""แผน!G25"")"),0)</f>
        <v>0</v>
      </c>
      <c r="J87" s="250">
        <v>0</v>
      </c>
      <c r="K87" s="163">
        <f ca="1">IF(I87&gt;0,J87*100/I87,0)</f>
        <v>0</v>
      </c>
      <c r="L87" s="145"/>
      <c r="M87" s="145"/>
      <c r="N87" s="145"/>
      <c r="O87" s="145"/>
      <c r="P87" s="145"/>
    </row>
    <row r="88" spans="1:16" ht="18.75" hidden="1" x14ac:dyDescent="0.25">
      <c r="A88" s="148"/>
      <c r="B88" s="149"/>
      <c r="C88" s="149"/>
      <c r="D88" s="149"/>
      <c r="E88" s="159" t="s">
        <v>40</v>
      </c>
      <c r="F88" s="155"/>
      <c r="G88" s="153"/>
      <c r="H88" s="251" t="s">
        <v>32</v>
      </c>
      <c r="I88" s="161">
        <f ca="1">IFERROR(__xludf.DUMMYFUNCTION("IMPORTRANGE(""https://docs.google.com/spreadsheets/d/1eHaY18a8A9IcSdp1K8H6x8fbOy06t2VsZHhMHf-1x7Y/edit?usp=sharing"",""แผน!D25"")"),0)</f>
        <v>0</v>
      </c>
      <c r="J88" s="250">
        <v>0</v>
      </c>
      <c r="K88" s="163">
        <f ca="1">IF(I88&gt;0,J88*100/I88,0)</f>
        <v>0</v>
      </c>
      <c r="L88" s="145"/>
      <c r="M88" s="145"/>
      <c r="N88" s="145"/>
      <c r="O88" s="145"/>
      <c r="P88" s="145"/>
    </row>
    <row r="89" spans="1:16" ht="18.75" hidden="1" x14ac:dyDescent="0.25">
      <c r="A89" s="148"/>
      <c r="B89" s="149"/>
      <c r="C89" s="149"/>
      <c r="D89" s="149"/>
      <c r="E89" s="155"/>
      <c r="F89" s="155"/>
      <c r="G89" s="153"/>
      <c r="H89" s="251" t="s">
        <v>33</v>
      </c>
      <c r="I89" s="161">
        <f ca="1">IFERROR(__xludf.DUMMYFUNCTION("IMPORTRANGE(""https://docs.google.com/spreadsheets/d/1eHaY18a8A9IcSdp1K8H6x8fbOy06t2VsZHhMHf-1x7Y/edit?usp=sharing"",""แผน!E25"")"),0)</f>
        <v>0</v>
      </c>
      <c r="J89" s="250">
        <v>0</v>
      </c>
      <c r="K89" s="163">
        <f ca="1">IF(I89&gt;0,J89*100/I89,0)</f>
        <v>0</v>
      </c>
      <c r="L89" s="145"/>
      <c r="M89" s="145"/>
      <c r="N89" s="145"/>
      <c r="O89" s="145"/>
      <c r="P89" s="145"/>
    </row>
    <row r="90" spans="1:16" ht="18.75" hidden="1" x14ac:dyDescent="0.25">
      <c r="A90" s="148"/>
      <c r="B90" s="149"/>
      <c r="C90" s="149"/>
      <c r="D90" s="154" t="s">
        <v>41</v>
      </c>
      <c r="E90" s="155"/>
      <c r="F90" s="155"/>
      <c r="G90" s="153"/>
      <c r="H90" s="164" t="s">
        <v>32</v>
      </c>
      <c r="I90" s="161">
        <f ca="1">IFERROR(__xludf.DUMMYFUNCTION("IMPORTRANGE(""https://docs.google.com/spreadsheets/d/1eHaY18a8A9IcSdp1K8H6x8fbOy06t2VsZHhMHf-1x7Y/edit?usp=sharing"",""แผน!J25"")"),0)</f>
        <v>0</v>
      </c>
      <c r="J90" s="250">
        <v>0</v>
      </c>
      <c r="K90" s="163">
        <f ca="1">IF(I90&gt;0,J90*100/I90,0)</f>
        <v>0</v>
      </c>
      <c r="L90" s="145"/>
      <c r="M90" s="145"/>
      <c r="N90" s="145"/>
      <c r="O90" s="145"/>
      <c r="P90" s="145"/>
    </row>
    <row r="91" spans="1:16" ht="19.5" hidden="1" x14ac:dyDescent="0.3">
      <c r="A91" s="125" t="s">
        <v>42</v>
      </c>
      <c r="B91" s="126"/>
      <c r="C91" s="127"/>
      <c r="D91" s="126"/>
      <c r="E91" s="126"/>
      <c r="F91" s="126"/>
      <c r="G91" s="128"/>
      <c r="H91" s="128"/>
      <c r="I91" s="129"/>
      <c r="J91" s="129"/>
      <c r="K91" s="130"/>
      <c r="L91" s="130"/>
      <c r="M91" s="130"/>
      <c r="N91" s="130"/>
      <c r="O91" s="130"/>
      <c r="P91" s="130"/>
    </row>
    <row r="92" spans="1:16" ht="19.5" hidden="1" x14ac:dyDescent="0.3">
      <c r="A92" s="131"/>
      <c r="B92" s="132" t="s">
        <v>43</v>
      </c>
      <c r="C92" s="26"/>
      <c r="D92" s="133"/>
      <c r="E92" s="26"/>
      <c r="F92" s="26"/>
      <c r="G92" s="29"/>
      <c r="H92" s="134" t="s">
        <v>44</v>
      </c>
      <c r="I92" s="135">
        <f ca="1">I108</f>
        <v>0</v>
      </c>
      <c r="J92" s="135">
        <f>J108</f>
        <v>0</v>
      </c>
      <c r="K92" s="33">
        <f ca="1">IF(I92&gt;0,J92*100/I92,0)</f>
        <v>0</v>
      </c>
      <c r="L92" s="32"/>
      <c r="M92" s="32"/>
      <c r="N92" s="32"/>
      <c r="O92" s="32"/>
      <c r="P92" s="32"/>
    </row>
    <row r="93" spans="1:16" ht="19.5" hidden="1" x14ac:dyDescent="0.3">
      <c r="A93" s="131"/>
      <c r="B93" s="26"/>
      <c r="C93" s="26"/>
      <c r="D93" s="133"/>
      <c r="E93" s="26"/>
      <c r="F93" s="26"/>
      <c r="G93" s="29"/>
      <c r="H93" s="134" t="s">
        <v>33</v>
      </c>
      <c r="I93" s="135">
        <f ca="1">I109</f>
        <v>0</v>
      </c>
      <c r="J93" s="135">
        <f>J109</f>
        <v>0</v>
      </c>
      <c r="K93" s="33">
        <f ca="1">IF(I93&gt;0,J93*100/I93,0)</f>
        <v>0</v>
      </c>
      <c r="L93" s="32"/>
      <c r="M93" s="32"/>
      <c r="N93" s="32"/>
      <c r="O93" s="32"/>
      <c r="P93" s="32"/>
    </row>
    <row r="94" spans="1:16" ht="19.5" hidden="1" x14ac:dyDescent="0.3">
      <c r="A94" s="136"/>
      <c r="B94" s="41"/>
      <c r="C94" s="197" t="s">
        <v>16</v>
      </c>
      <c r="D94" s="397" t="s">
        <v>17</v>
      </c>
      <c r="E94" s="41"/>
      <c r="F94" s="41"/>
      <c r="G94" s="43"/>
      <c r="H94" s="139" t="s">
        <v>12</v>
      </c>
      <c r="I94" s="45"/>
      <c r="J94" s="45"/>
      <c r="K94" s="46"/>
      <c r="L94" s="140">
        <f ca="1">L95+L96</f>
        <v>0</v>
      </c>
      <c r="M94" s="140">
        <f ca="1">M95+M96</f>
        <v>0</v>
      </c>
      <c r="N94" s="140">
        <f ca="1">N95+N96</f>
        <v>0</v>
      </c>
      <c r="O94" s="140">
        <f ca="1">IF(L94&gt;0,N94*100/L94,0)</f>
        <v>0</v>
      </c>
      <c r="P94" s="140">
        <f ca="1">IF(M94&gt;0,N94*100/M94,0)</f>
        <v>0</v>
      </c>
    </row>
    <row r="95" spans="1:16" ht="18.75" hidden="1" x14ac:dyDescent="0.25">
      <c r="A95" s="136"/>
      <c r="B95" s="41"/>
      <c r="C95" s="41"/>
      <c r="D95" s="41"/>
      <c r="E95" s="279" t="s">
        <v>18</v>
      </c>
      <c r="F95" s="41"/>
      <c r="G95" s="43"/>
      <c r="H95" s="141" t="s">
        <v>12</v>
      </c>
      <c r="I95" s="45"/>
      <c r="J95" s="45"/>
      <c r="K95" s="46"/>
      <c r="L95" s="50">
        <f>L98+L101</f>
        <v>0</v>
      </c>
      <c r="M95" s="50">
        <f>M98+M101</f>
        <v>0</v>
      </c>
      <c r="N95" s="50">
        <f>N98+N101</f>
        <v>0</v>
      </c>
      <c r="O95" s="50">
        <f>IF(L95&gt;0,N95*100/L95,0)</f>
        <v>0</v>
      </c>
      <c r="P95" s="50">
        <f>IF(M95&gt;0,N95*100/M95,0)</f>
        <v>0</v>
      </c>
    </row>
    <row r="96" spans="1:16" ht="18.75" hidden="1" x14ac:dyDescent="0.25">
      <c r="A96" s="136"/>
      <c r="B96" s="41"/>
      <c r="C96" s="41"/>
      <c r="D96" s="41"/>
      <c r="E96" s="254" t="s">
        <v>19</v>
      </c>
      <c r="F96" s="41"/>
      <c r="G96" s="43"/>
      <c r="H96" s="142" t="s">
        <v>12</v>
      </c>
      <c r="I96" s="45"/>
      <c r="J96" s="45"/>
      <c r="K96" s="46"/>
      <c r="L96" s="47">
        <f ca="1">L99+L102</f>
        <v>0</v>
      </c>
      <c r="M96" s="47">
        <f ca="1">M99+M102</f>
        <v>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</row>
    <row r="97" spans="1:16" ht="18.75" hidden="1" x14ac:dyDescent="0.25">
      <c r="A97" s="136"/>
      <c r="B97" s="41"/>
      <c r="C97" s="41"/>
      <c r="D97" s="42" t="s">
        <v>20</v>
      </c>
      <c r="E97" s="41"/>
      <c r="F97" s="41"/>
      <c r="G97" s="43"/>
      <c r="H97" s="143" t="s">
        <v>12</v>
      </c>
      <c r="I97" s="144"/>
      <c r="J97" s="144"/>
      <c r="K97" s="145"/>
      <c r="L97" s="47">
        <f ca="1">L98+L99</f>
        <v>0</v>
      </c>
      <c r="M97" s="47">
        <f ca="1">M98+M99</f>
        <v>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</row>
    <row r="98" spans="1:16" ht="18.75" hidden="1" x14ac:dyDescent="0.25">
      <c r="A98" s="136"/>
      <c r="B98" s="41"/>
      <c r="C98" s="41"/>
      <c r="D98" s="41"/>
      <c r="E98" s="279" t="s">
        <v>34</v>
      </c>
      <c r="F98" s="41"/>
      <c r="G98" s="43"/>
      <c r="H98" s="146" t="s">
        <v>12</v>
      </c>
      <c r="I98" s="144"/>
      <c r="J98" s="144"/>
      <c r="K98" s="145"/>
      <c r="L98" s="50">
        <v>0</v>
      </c>
      <c r="M98" s="50">
        <v>0</v>
      </c>
      <c r="N98" s="50">
        <v>0</v>
      </c>
      <c r="O98" s="50">
        <f>IF(L98&gt;0,N98*100/L98,0)</f>
        <v>0</v>
      </c>
      <c r="P98" s="50">
        <f>IF(M98&gt;0,N98*100/M98,0)</f>
        <v>0</v>
      </c>
    </row>
    <row r="99" spans="1:16" ht="18.75" hidden="1" x14ac:dyDescent="0.25">
      <c r="A99" s="136"/>
      <c r="B99" s="41"/>
      <c r="C99" s="41"/>
      <c r="D99" s="41"/>
      <c r="E99" s="254" t="s">
        <v>35</v>
      </c>
      <c r="F99" s="41"/>
      <c r="G99" s="43"/>
      <c r="H99" s="143" t="s">
        <v>12</v>
      </c>
      <c r="I99" s="144"/>
      <c r="J99" s="144"/>
      <c r="K99" s="145"/>
      <c r="L99" s="47">
        <f ca="1">IFERROR(__xludf.DUMMYFUNCTION("IMPORTRANGE(""https://docs.google.com/spreadsheets/d/1-uDff_7J0KD5mKrp0Vvzr7lt3OU09vwQwhkpOPPYv2Y/edit?usp=sharing"",""งบพรบ!AW25"")"),0)</f>
        <v>0</v>
      </c>
      <c r="M99" s="47">
        <f ca="1">IFERROR(__xludf.DUMMYFUNCTION("IMPORTRANGE(""https://docs.google.com/spreadsheets/d/1-uDff_7J0KD5mKrp0Vvzr7lt3OU09vwQwhkpOPPYv2Y/edit?usp=sharing"",""งบพรบ!BB25"")"),0)</f>
        <v>0</v>
      </c>
      <c r="N99" s="47">
        <f ca="1">IFERROR(__xludf.DUMMYFUNCTION("IMPORTRANGE(""https://docs.google.com/spreadsheets/d/1-uDff_7J0KD5mKrp0Vvzr7lt3OU09vwQwhkpOPPYv2Y/edit?usp=sharing"",""งบพรบ!BD25"")"),0)</f>
        <v>0</v>
      </c>
      <c r="O99" s="47">
        <f ca="1">IF(L99&gt;0,N99*100/L99,0)</f>
        <v>0</v>
      </c>
      <c r="P99" s="47">
        <f ca="1">IF(M99&gt;0,N99*100/M99,0)</f>
        <v>0</v>
      </c>
    </row>
    <row r="100" spans="1:16" ht="18.75" hidden="1" x14ac:dyDescent="0.25">
      <c r="A100" s="136"/>
      <c r="B100" s="41"/>
      <c r="C100" s="41"/>
      <c r="D100" s="42" t="s">
        <v>21</v>
      </c>
      <c r="E100" s="41"/>
      <c r="F100" s="41"/>
      <c r="G100" s="43"/>
      <c r="H100" s="147" t="s">
        <v>12</v>
      </c>
      <c r="I100" s="144"/>
      <c r="J100" s="144"/>
      <c r="K100" s="145"/>
      <c r="L100" s="47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</row>
    <row r="101" spans="1:16" ht="18.75" hidden="1" x14ac:dyDescent="0.25">
      <c r="A101" s="136"/>
      <c r="B101" s="41"/>
      <c r="C101" s="41"/>
      <c r="D101" s="41"/>
      <c r="E101" s="279" t="s">
        <v>18</v>
      </c>
      <c r="F101" s="41"/>
      <c r="G101" s="43"/>
      <c r="H101" s="146" t="s">
        <v>12</v>
      </c>
      <c r="I101" s="144"/>
      <c r="J101" s="144"/>
      <c r="K101" s="145"/>
      <c r="L101" s="50">
        <v>0</v>
      </c>
      <c r="M101" s="50">
        <v>0</v>
      </c>
      <c r="N101" s="50">
        <v>0</v>
      </c>
      <c r="O101" s="50">
        <f>IF(L101&gt;0,N101*100/L101,0)</f>
        <v>0</v>
      </c>
      <c r="P101" s="50">
        <f>IF(M101&gt;0,N101*100/M101,0)</f>
        <v>0</v>
      </c>
    </row>
    <row r="102" spans="1:16" ht="18.75" hidden="1" x14ac:dyDescent="0.25">
      <c r="A102" s="136"/>
      <c r="B102" s="41"/>
      <c r="C102" s="41"/>
      <c r="D102" s="41"/>
      <c r="E102" s="254" t="s">
        <v>19</v>
      </c>
      <c r="F102" s="41"/>
      <c r="G102" s="43"/>
      <c r="H102" s="147" t="s">
        <v>12</v>
      </c>
      <c r="I102" s="144"/>
      <c r="J102" s="144"/>
      <c r="K102" s="145"/>
      <c r="L102" s="47">
        <f ca="1">IFERROR(__xludf.DUMMYFUNCTION("IMPORTRANGE(""https://docs.google.com/spreadsheets/d/1-uDff_7J0KD5mKrp0Vvzr7lt3OU09vwQwhkpOPPYv2Y/edit?usp=sharing"",""งบพรบ!AZ25"")"),0)</f>
        <v>0</v>
      </c>
      <c r="M102" s="47">
        <f ca="1">IFERROR(__xludf.DUMMYFUNCTION("IMPORTRANGE(""https://docs.google.com/spreadsheets/d/1-uDff_7J0KD5mKrp0Vvzr7lt3OU09vwQwhkpOPPYv2Y/edit?usp=sharing"",""งบพรบ!BC25"")"),0)</f>
        <v>0</v>
      </c>
      <c r="N102" s="47">
        <f ca="1">IFERROR(__xludf.DUMMYFUNCTION("IMPORTRANGE(""https://docs.google.com/spreadsheets/d/1-uDff_7J0KD5mKrp0Vvzr7lt3OU09vwQwhkpOPPYv2Y/edit?usp=sharing"",""งบพรบ!BE25"")"),0)</f>
        <v>0</v>
      </c>
      <c r="O102" s="47">
        <f ca="1">IF(L102&gt;0,N102*100/L102,0)</f>
        <v>0</v>
      </c>
      <c r="P102" s="47">
        <f ca="1">IF(M102&gt;0,N102*100/M102,0)</f>
        <v>0</v>
      </c>
    </row>
    <row r="103" spans="1:16" ht="19.5" hidden="1" x14ac:dyDescent="0.3">
      <c r="A103" s="148"/>
      <c r="B103" s="149"/>
      <c r="C103" s="197" t="s">
        <v>16</v>
      </c>
      <c r="D103" s="395" t="s">
        <v>36</v>
      </c>
      <c r="E103" s="151"/>
      <c r="F103" s="151"/>
      <c r="G103" s="152"/>
      <c r="H103" s="153"/>
      <c r="I103" s="144"/>
      <c r="J103" s="45"/>
      <c r="K103" s="46"/>
      <c r="L103" s="46"/>
      <c r="M103" s="46"/>
      <c r="N103" s="46"/>
      <c r="O103" s="145"/>
      <c r="P103" s="145"/>
    </row>
    <row r="104" spans="1:16" ht="12.75" hidden="1" x14ac:dyDescent="0.2">
      <c r="A104" s="165"/>
      <c r="B104" s="166"/>
      <c r="C104" s="166"/>
      <c r="D104" s="16"/>
      <c r="E104" s="16"/>
      <c r="F104" s="16"/>
      <c r="G104" s="17"/>
      <c r="H104" s="17"/>
      <c r="I104" s="18"/>
      <c r="J104" s="18"/>
      <c r="K104" s="19"/>
      <c r="L104" s="19"/>
      <c r="M104" s="19"/>
      <c r="N104" s="19"/>
      <c r="O104" s="19"/>
      <c r="P104" s="19"/>
    </row>
    <row r="105" spans="1:16" ht="12.75" hidden="1" x14ac:dyDescent="0.2">
      <c r="A105" s="165"/>
      <c r="B105" s="166"/>
      <c r="C105" s="166"/>
      <c r="D105" s="16"/>
      <c r="E105" s="16"/>
      <c r="F105" s="16"/>
      <c r="G105" s="17"/>
      <c r="H105" s="17"/>
      <c r="I105" s="18"/>
      <c r="J105" s="18"/>
      <c r="K105" s="19"/>
      <c r="L105" s="19"/>
      <c r="M105" s="19"/>
      <c r="N105" s="19"/>
      <c r="O105" s="19"/>
      <c r="P105" s="19"/>
    </row>
    <row r="106" spans="1:16" ht="12.75" hidden="1" x14ac:dyDescent="0.2">
      <c r="A106" s="165"/>
      <c r="B106" s="166"/>
      <c r="C106" s="166"/>
      <c r="D106" s="166"/>
      <c r="E106" s="16"/>
      <c r="F106" s="16"/>
      <c r="G106" s="17"/>
      <c r="H106" s="17"/>
      <c r="I106" s="18"/>
      <c r="J106" s="18"/>
      <c r="K106" s="19"/>
      <c r="L106" s="19"/>
      <c r="M106" s="19"/>
      <c r="N106" s="19"/>
      <c r="O106" s="19"/>
      <c r="P106" s="19"/>
    </row>
    <row r="107" spans="1:16" ht="19.5" hidden="1" x14ac:dyDescent="0.3">
      <c r="A107" s="148"/>
      <c r="B107" s="149"/>
      <c r="C107" s="149"/>
      <c r="D107" s="167" t="s">
        <v>45</v>
      </c>
      <c r="E107" s="168"/>
      <c r="F107" s="155"/>
      <c r="G107" s="153"/>
      <c r="H107" s="43"/>
      <c r="I107" s="45"/>
      <c r="J107" s="45"/>
      <c r="K107" s="46"/>
      <c r="L107" s="46"/>
      <c r="M107" s="46"/>
      <c r="N107" s="46"/>
      <c r="O107" s="145"/>
      <c r="P107" s="145"/>
    </row>
    <row r="108" spans="1:16" ht="18.75" hidden="1" x14ac:dyDescent="0.25">
      <c r="A108" s="148"/>
      <c r="B108" s="149"/>
      <c r="C108" s="149"/>
      <c r="D108" s="159" t="s">
        <v>46</v>
      </c>
      <c r="E108" s="155"/>
      <c r="F108" s="155"/>
      <c r="G108" s="153"/>
      <c r="H108" s="44" t="s">
        <v>44</v>
      </c>
      <c r="I108" s="169">
        <f ca="1">IFERROR(__xludf.DUMMYFUNCTION("IMPORTRANGE(""https://docs.google.com/spreadsheets/d/1eHaY18a8A9IcSdp1K8H6x8fbOy06t2VsZHhMHf-1x7Y/edit?usp=sharing"",""แผน!N25"")"),0)</f>
        <v>0</v>
      </c>
      <c r="J108" s="250">
        <v>0</v>
      </c>
      <c r="K108" s="47">
        <f ca="1">IF(I108&gt;0,J108*100/I108,0)</f>
        <v>0</v>
      </c>
      <c r="L108" s="46"/>
      <c r="M108" s="46"/>
      <c r="N108" s="46"/>
      <c r="O108" s="145"/>
      <c r="P108" s="145"/>
    </row>
    <row r="109" spans="1:16" ht="18.75" hidden="1" x14ac:dyDescent="0.25">
      <c r="A109" s="148"/>
      <c r="B109" s="149"/>
      <c r="C109" s="149"/>
      <c r="D109" s="159" t="s">
        <v>47</v>
      </c>
      <c r="E109" s="155"/>
      <c r="F109" s="155"/>
      <c r="G109" s="153"/>
      <c r="H109" s="44" t="s">
        <v>33</v>
      </c>
      <c r="I109" s="169">
        <f ca="1">IFERROR(__xludf.DUMMYFUNCTION("IMPORTRANGE(""https://docs.google.com/spreadsheets/d/1eHaY18a8A9IcSdp1K8H6x8fbOy06t2VsZHhMHf-1x7Y/edit?usp=sharing"",""แผน!O25"")"),0)</f>
        <v>0</v>
      </c>
      <c r="J109" s="250">
        <v>0</v>
      </c>
      <c r="K109" s="47">
        <f ca="1">IF(I109&gt;0,J109*100/I109,0)</f>
        <v>0</v>
      </c>
      <c r="L109" s="46"/>
      <c r="M109" s="46"/>
      <c r="N109" s="46"/>
      <c r="O109" s="145"/>
      <c r="P109" s="145"/>
    </row>
    <row r="110" spans="1:16" ht="12.75" hidden="1" x14ac:dyDescent="0.2">
      <c r="A110" s="165"/>
      <c r="B110" s="166"/>
      <c r="C110" s="166"/>
      <c r="D110" s="16"/>
      <c r="E110" s="16"/>
      <c r="F110" s="16"/>
      <c r="G110" s="17"/>
      <c r="H110" s="17"/>
      <c r="I110" s="18"/>
      <c r="J110" s="18"/>
      <c r="K110" s="19"/>
      <c r="L110" s="19"/>
      <c r="M110" s="19"/>
      <c r="N110" s="19"/>
      <c r="O110" s="19"/>
      <c r="P110" s="19"/>
    </row>
    <row r="111" spans="1:16" ht="12.75" hidden="1" x14ac:dyDescent="0.2">
      <c r="A111" s="165"/>
      <c r="B111" s="166"/>
      <c r="C111" s="166"/>
      <c r="D111" s="16"/>
      <c r="E111" s="16"/>
      <c r="F111" s="16"/>
      <c r="G111" s="17"/>
      <c r="H111" s="17"/>
      <c r="I111" s="18"/>
      <c r="J111" s="18"/>
      <c r="K111" s="19"/>
      <c r="L111" s="19"/>
      <c r="M111" s="19"/>
      <c r="N111" s="19"/>
      <c r="O111" s="19"/>
      <c r="P111" s="19"/>
    </row>
    <row r="112" spans="1:16" ht="12.75" hidden="1" x14ac:dyDescent="0.2">
      <c r="A112" s="165"/>
      <c r="B112" s="166"/>
      <c r="C112" s="166"/>
      <c r="D112" s="16"/>
      <c r="E112" s="16"/>
      <c r="F112" s="16"/>
      <c r="G112" s="17"/>
      <c r="H112" s="17"/>
      <c r="I112" s="18"/>
      <c r="J112" s="18"/>
      <c r="K112" s="19"/>
      <c r="L112" s="19"/>
      <c r="M112" s="19"/>
      <c r="N112" s="19"/>
      <c r="O112" s="19"/>
      <c r="P112" s="19"/>
    </row>
    <row r="113" spans="1:16" ht="12.75" hidden="1" x14ac:dyDescent="0.2">
      <c r="A113" s="165"/>
      <c r="B113" s="166"/>
      <c r="C113" s="166"/>
      <c r="D113" s="16"/>
      <c r="E113" s="16"/>
      <c r="F113" s="16"/>
      <c r="G113" s="17"/>
      <c r="H113" s="17"/>
      <c r="I113" s="18"/>
      <c r="J113" s="18"/>
      <c r="K113" s="19"/>
      <c r="L113" s="19"/>
      <c r="M113" s="19"/>
      <c r="N113" s="19"/>
      <c r="O113" s="19"/>
      <c r="P113" s="19"/>
    </row>
    <row r="114" spans="1:16" ht="12.75" hidden="1" x14ac:dyDescent="0.2">
      <c r="A114" s="165"/>
      <c r="B114" s="166"/>
      <c r="C114" s="166"/>
      <c r="D114" s="16"/>
      <c r="E114" s="16"/>
      <c r="F114" s="16"/>
      <c r="G114" s="17"/>
      <c r="H114" s="17"/>
      <c r="I114" s="18"/>
      <c r="J114" s="18"/>
      <c r="K114" s="19"/>
      <c r="L114" s="19"/>
      <c r="M114" s="19"/>
      <c r="N114" s="19"/>
      <c r="O114" s="19"/>
      <c r="P114" s="19"/>
    </row>
    <row r="115" spans="1:16" ht="12.75" hidden="1" x14ac:dyDescent="0.2">
      <c r="A115" s="165"/>
      <c r="B115" s="166"/>
      <c r="C115" s="166"/>
      <c r="D115" s="16"/>
      <c r="E115" s="16"/>
      <c r="F115" s="16"/>
      <c r="G115" s="17"/>
      <c r="H115" s="17"/>
      <c r="I115" s="18"/>
      <c r="J115" s="18"/>
      <c r="K115" s="19"/>
      <c r="L115" s="19"/>
      <c r="M115" s="19"/>
      <c r="N115" s="19"/>
      <c r="O115" s="19"/>
      <c r="P115" s="19"/>
    </row>
    <row r="116" spans="1:16" ht="12.75" hidden="1" x14ac:dyDescent="0.2">
      <c r="A116" s="165"/>
      <c r="B116" s="166"/>
      <c r="C116" s="166"/>
      <c r="D116" s="16"/>
      <c r="E116" s="16"/>
      <c r="F116" s="16"/>
      <c r="G116" s="17"/>
      <c r="H116" s="17"/>
      <c r="I116" s="18"/>
      <c r="J116" s="18"/>
      <c r="K116" s="19"/>
      <c r="L116" s="19"/>
      <c r="M116" s="19"/>
      <c r="N116" s="19"/>
      <c r="O116" s="19"/>
      <c r="P116" s="19"/>
    </row>
    <row r="117" spans="1:16" ht="18.75" hidden="1" x14ac:dyDescent="0.25">
      <c r="A117" s="148"/>
      <c r="B117" s="149"/>
      <c r="C117" s="149"/>
      <c r="D117" s="159" t="s">
        <v>48</v>
      </c>
      <c r="E117" s="155"/>
      <c r="F117" s="155"/>
      <c r="G117" s="153"/>
      <c r="H117" s="251" t="s">
        <v>33</v>
      </c>
      <c r="I117" s="161">
        <f ca="1">IFERROR(__xludf.DUMMYFUNCTION("IMPORTRANGE(""https://docs.google.com/spreadsheets/d/1eHaY18a8A9IcSdp1K8H6x8fbOy06t2VsZHhMHf-1x7Y/edit?usp=sharing"",""แผน!R25"")"),0)</f>
        <v>0</v>
      </c>
      <c r="J117" s="250">
        <v>0</v>
      </c>
      <c r="K117" s="47">
        <f ca="1">IF(I117&gt;0,J117*100/I117,0)</f>
        <v>0</v>
      </c>
      <c r="L117" s="46"/>
      <c r="M117" s="46"/>
      <c r="N117" s="46"/>
      <c r="O117" s="145"/>
      <c r="P117" s="145"/>
    </row>
    <row r="118" spans="1:16" ht="12.75" hidden="1" x14ac:dyDescent="0.2">
      <c r="A118" s="165"/>
      <c r="B118" s="166"/>
      <c r="C118" s="166"/>
      <c r="D118" s="166"/>
      <c r="E118" s="16"/>
      <c r="F118" s="16"/>
      <c r="G118" s="17"/>
      <c r="H118" s="17"/>
      <c r="I118" s="18"/>
      <c r="J118" s="18"/>
      <c r="K118" s="19"/>
      <c r="L118" s="19"/>
      <c r="M118" s="19"/>
      <c r="N118" s="19"/>
      <c r="O118" s="19"/>
      <c r="P118" s="19"/>
    </row>
    <row r="119" spans="1:16" ht="12.75" hidden="1" x14ac:dyDescent="0.2">
      <c r="A119" s="165"/>
      <c r="B119" s="166"/>
      <c r="C119" s="166"/>
      <c r="D119" s="166"/>
      <c r="E119" s="16"/>
      <c r="F119" s="16"/>
      <c r="G119" s="17"/>
      <c r="H119" s="17"/>
      <c r="I119" s="18"/>
      <c r="J119" s="18"/>
      <c r="K119" s="19"/>
      <c r="L119" s="19"/>
      <c r="M119" s="19"/>
      <c r="N119" s="19"/>
      <c r="O119" s="19"/>
      <c r="P119" s="19"/>
    </row>
    <row r="120" spans="1:16" ht="12.75" hidden="1" x14ac:dyDescent="0.2">
      <c r="A120" s="165"/>
      <c r="B120" s="166"/>
      <c r="C120" s="166"/>
      <c r="D120" s="166"/>
      <c r="E120" s="16"/>
      <c r="F120" s="16"/>
      <c r="G120" s="17"/>
      <c r="H120" s="17"/>
      <c r="I120" s="18"/>
      <c r="J120" s="18"/>
      <c r="K120" s="19"/>
      <c r="L120" s="19"/>
      <c r="M120" s="19"/>
      <c r="N120" s="19"/>
      <c r="O120" s="19"/>
      <c r="P120" s="19"/>
    </row>
    <row r="121" spans="1:16" ht="12.75" hidden="1" x14ac:dyDescent="0.2">
      <c r="A121" s="165"/>
      <c r="B121" s="166"/>
      <c r="C121" s="166"/>
      <c r="D121" s="166"/>
      <c r="E121" s="16"/>
      <c r="F121" s="16"/>
      <c r="G121" s="17"/>
      <c r="H121" s="17"/>
      <c r="I121" s="18"/>
      <c r="J121" s="18"/>
      <c r="K121" s="19"/>
      <c r="L121" s="19"/>
      <c r="M121" s="19"/>
      <c r="N121" s="19"/>
      <c r="O121" s="19"/>
      <c r="P121" s="19"/>
    </row>
    <row r="122" spans="1:16" ht="12.75" hidden="1" x14ac:dyDescent="0.2">
      <c r="A122" s="165"/>
      <c r="B122" s="166"/>
      <c r="C122" s="166"/>
      <c r="D122" s="166"/>
      <c r="E122" s="16"/>
      <c r="F122" s="16"/>
      <c r="G122" s="17"/>
      <c r="H122" s="17"/>
      <c r="I122" s="18"/>
      <c r="J122" s="18"/>
      <c r="K122" s="19"/>
      <c r="L122" s="19"/>
      <c r="M122" s="19"/>
      <c r="N122" s="19"/>
      <c r="O122" s="19"/>
      <c r="P122" s="19"/>
    </row>
    <row r="123" spans="1:16" ht="19.5" hidden="1" x14ac:dyDescent="0.3">
      <c r="A123" s="170" t="s">
        <v>49</v>
      </c>
      <c r="B123" s="16"/>
      <c r="C123" s="171"/>
      <c r="D123" s="16"/>
      <c r="E123" s="16"/>
      <c r="F123" s="16"/>
      <c r="G123" s="16"/>
      <c r="H123" s="16"/>
      <c r="I123" s="172"/>
      <c r="J123" s="172"/>
      <c r="K123" s="173"/>
      <c r="L123" s="19"/>
      <c r="M123" s="19"/>
      <c r="N123" s="19"/>
      <c r="O123" s="19"/>
      <c r="P123" s="19"/>
    </row>
    <row r="124" spans="1:16" ht="19.5" hidden="1" x14ac:dyDescent="0.3">
      <c r="A124" s="174"/>
      <c r="B124" s="178" t="s">
        <v>50</v>
      </c>
      <c r="C124" s="171"/>
      <c r="D124" s="166"/>
      <c r="E124" s="16"/>
      <c r="F124" s="16"/>
      <c r="G124" s="17"/>
      <c r="H124" s="17"/>
      <c r="I124" s="176">
        <v>0</v>
      </c>
      <c r="J124" s="176">
        <v>0</v>
      </c>
      <c r="K124" s="177">
        <v>0</v>
      </c>
      <c r="L124" s="19"/>
      <c r="M124" s="19"/>
      <c r="N124" s="19"/>
      <c r="O124" s="19"/>
      <c r="P124" s="19"/>
    </row>
    <row r="125" spans="1:16" ht="19.5" hidden="1" x14ac:dyDescent="0.3">
      <c r="A125" s="174"/>
      <c r="B125" s="16"/>
      <c r="C125" s="178" t="s">
        <v>16</v>
      </c>
      <c r="D125" s="402" t="s">
        <v>17</v>
      </c>
      <c r="E125" s="16"/>
      <c r="F125" s="16"/>
      <c r="G125" s="17"/>
      <c r="H125" s="180" t="s">
        <v>12</v>
      </c>
      <c r="I125" s="18"/>
      <c r="J125" s="18"/>
      <c r="K125" s="19"/>
      <c r="L125" s="181">
        <f ca="1">L126+L127</f>
        <v>0</v>
      </c>
      <c r="M125" s="181">
        <f ca="1">M126+M127</f>
        <v>0</v>
      </c>
      <c r="N125" s="181">
        <f ca="1">N126+N127</f>
        <v>0</v>
      </c>
      <c r="O125" s="181">
        <f ca="1">IF(L125&gt;0,N125*100/L125,0)</f>
        <v>0</v>
      </c>
      <c r="P125" s="181">
        <f ca="1">IF(M125&gt;0,N125*100/M125,0)</f>
        <v>0</v>
      </c>
    </row>
    <row r="126" spans="1:16" ht="18.75" hidden="1" x14ac:dyDescent="0.25">
      <c r="A126" s="174"/>
      <c r="B126" s="16"/>
      <c r="C126" s="16"/>
      <c r="D126" s="16"/>
      <c r="E126" s="182" t="s">
        <v>18</v>
      </c>
      <c r="F126" s="16"/>
      <c r="G126" s="17"/>
      <c r="H126" s="183" t="s">
        <v>12</v>
      </c>
      <c r="I126" s="18"/>
      <c r="J126" s="18"/>
      <c r="K126" s="19"/>
      <c r="L126" s="184">
        <f>L129+L132</f>
        <v>0</v>
      </c>
      <c r="M126" s="184">
        <f>M129+M132</f>
        <v>0</v>
      </c>
      <c r="N126" s="184">
        <f>N129+N132</f>
        <v>0</v>
      </c>
      <c r="O126" s="184">
        <f>IF(L126&gt;0,N126*100/L126,0)</f>
        <v>0</v>
      </c>
      <c r="P126" s="184">
        <f>IF(M126&gt;0,N126*100/M126,0)</f>
        <v>0</v>
      </c>
    </row>
    <row r="127" spans="1:16" ht="18.75" hidden="1" x14ac:dyDescent="0.25">
      <c r="A127" s="174"/>
      <c r="B127" s="16"/>
      <c r="C127" s="16"/>
      <c r="D127" s="16"/>
      <c r="E127" s="185" t="s">
        <v>19</v>
      </c>
      <c r="F127" s="16"/>
      <c r="G127" s="17"/>
      <c r="H127" s="186" t="s">
        <v>12</v>
      </c>
      <c r="I127" s="18"/>
      <c r="J127" s="18"/>
      <c r="K127" s="19"/>
      <c r="L127" s="177">
        <f ca="1">L130+L133</f>
        <v>0</v>
      </c>
      <c r="M127" s="177">
        <f ca="1">M130+M133</f>
        <v>0</v>
      </c>
      <c r="N127" s="177">
        <f ca="1">N130+N133</f>
        <v>0</v>
      </c>
      <c r="O127" s="177">
        <f ca="1">IF(L127&gt;0,N127*100/L127,0)</f>
        <v>0</v>
      </c>
      <c r="P127" s="177">
        <f ca="1">IF(M127&gt;0,N127*100/M127,0)</f>
        <v>0</v>
      </c>
    </row>
    <row r="128" spans="1:16" ht="18.75" hidden="1" x14ac:dyDescent="0.25">
      <c r="A128" s="174"/>
      <c r="B128" s="16"/>
      <c r="C128" s="16"/>
      <c r="D128" s="401" t="s">
        <v>20</v>
      </c>
      <c r="E128" s="16"/>
      <c r="F128" s="16"/>
      <c r="G128" s="17"/>
      <c r="H128" s="188" t="s">
        <v>12</v>
      </c>
      <c r="I128" s="18"/>
      <c r="J128" s="18"/>
      <c r="K128" s="19"/>
      <c r="L128" s="177">
        <f ca="1">L129+L130</f>
        <v>0</v>
      </c>
      <c r="M128" s="177">
        <f ca="1">M129+M130</f>
        <v>0</v>
      </c>
      <c r="N128" s="177">
        <f ca="1">N129+N130</f>
        <v>0</v>
      </c>
      <c r="O128" s="177">
        <f ca="1">IF(L128&gt;0,N128*100/L128,0)</f>
        <v>0</v>
      </c>
      <c r="P128" s="177">
        <f ca="1">IF(M128&gt;0,N128*100/M128,0)</f>
        <v>0</v>
      </c>
    </row>
    <row r="129" spans="1:16" ht="18.75" hidden="1" x14ac:dyDescent="0.25">
      <c r="A129" s="174"/>
      <c r="B129" s="16"/>
      <c r="C129" s="16"/>
      <c r="D129" s="16"/>
      <c r="E129" s="182" t="s">
        <v>34</v>
      </c>
      <c r="F129" s="16"/>
      <c r="G129" s="17"/>
      <c r="H129" s="189" t="s">
        <v>12</v>
      </c>
      <c r="I129" s="18"/>
      <c r="J129" s="18"/>
      <c r="K129" s="19"/>
      <c r="L129" s="184">
        <v>0</v>
      </c>
      <c r="M129" s="184">
        <v>0</v>
      </c>
      <c r="N129" s="184">
        <v>0</v>
      </c>
      <c r="O129" s="184">
        <f>IF(L129&gt;0,N129*100/L129,0)</f>
        <v>0</v>
      </c>
      <c r="P129" s="184">
        <f>IF(M129&gt;0,N129*100/M129,0)</f>
        <v>0</v>
      </c>
    </row>
    <row r="130" spans="1:16" ht="18.75" hidden="1" x14ac:dyDescent="0.25">
      <c r="A130" s="174"/>
      <c r="B130" s="16"/>
      <c r="C130" s="16"/>
      <c r="D130" s="16"/>
      <c r="E130" s="185" t="s">
        <v>35</v>
      </c>
      <c r="F130" s="16"/>
      <c r="G130" s="17"/>
      <c r="H130" s="188" t="s">
        <v>12</v>
      </c>
      <c r="I130" s="18"/>
      <c r="J130" s="18"/>
      <c r="K130" s="19"/>
      <c r="L130" s="177">
        <f ca="1">IFERROR(__xludf.DUMMYFUNCTION("IMPORTRANGE(""https://docs.google.com/spreadsheets/d/1-uDff_7J0KD5mKrp0Vvzr7lt3OU09vwQwhkpOPPYv2Y/edit?usp=sharing"",""งบพรบ!BG25"")"),0)</f>
        <v>0</v>
      </c>
      <c r="M130" s="177">
        <f ca="1">IFERROR(__xludf.DUMMYFUNCTION("IMPORTRANGE(""https://docs.google.com/spreadsheets/d/1-uDff_7J0KD5mKrp0Vvzr7lt3OU09vwQwhkpOPPYv2Y/edit?usp=sharing"",""งบพรบ!BL25"")"),0)</f>
        <v>0</v>
      </c>
      <c r="N130" s="177">
        <f ca="1">IFERROR(__xludf.DUMMYFUNCTION("IMPORTRANGE(""https://docs.google.com/spreadsheets/d/1-uDff_7J0KD5mKrp0Vvzr7lt3OU09vwQwhkpOPPYv2Y/edit?usp=sharing"",""งบพรบ!BN25"")"),0)</f>
        <v>0</v>
      </c>
      <c r="O130" s="177">
        <f ca="1">IF(L130&gt;0,N130*100/L130,0)</f>
        <v>0</v>
      </c>
      <c r="P130" s="177">
        <f ca="1">IF(M130&gt;0,N130*100/M130,0)</f>
        <v>0</v>
      </c>
    </row>
    <row r="131" spans="1:16" ht="18.75" hidden="1" x14ac:dyDescent="0.25">
      <c r="A131" s="174"/>
      <c r="B131" s="16"/>
      <c r="C131" s="16"/>
      <c r="D131" s="401" t="s">
        <v>21</v>
      </c>
      <c r="E131" s="16"/>
      <c r="F131" s="16"/>
      <c r="G131" s="17"/>
      <c r="H131" s="186" t="s">
        <v>12</v>
      </c>
      <c r="I131" s="18"/>
      <c r="J131" s="18"/>
      <c r="K131" s="19"/>
      <c r="L131" s="177">
        <f ca="1">L132+L133</f>
        <v>0</v>
      </c>
      <c r="M131" s="177">
        <f ca="1">M132+M133</f>
        <v>0</v>
      </c>
      <c r="N131" s="177">
        <f ca="1">N132+N133</f>
        <v>0</v>
      </c>
      <c r="O131" s="177">
        <f ca="1">IF(L131&gt;0,N131*100/L131,0)</f>
        <v>0</v>
      </c>
      <c r="P131" s="177">
        <f ca="1">IF(M131&gt;0,N131*100/M131,0)</f>
        <v>0</v>
      </c>
    </row>
    <row r="132" spans="1:16" ht="18.75" hidden="1" x14ac:dyDescent="0.25">
      <c r="A132" s="174"/>
      <c r="B132" s="16"/>
      <c r="C132" s="16"/>
      <c r="D132" s="16"/>
      <c r="E132" s="182" t="s">
        <v>18</v>
      </c>
      <c r="F132" s="16"/>
      <c r="G132" s="17"/>
      <c r="H132" s="189" t="s">
        <v>12</v>
      </c>
      <c r="I132" s="18"/>
      <c r="J132" s="18"/>
      <c r="K132" s="19"/>
      <c r="L132" s="184">
        <v>0</v>
      </c>
      <c r="M132" s="184">
        <v>0</v>
      </c>
      <c r="N132" s="184">
        <v>0</v>
      </c>
      <c r="O132" s="184">
        <f>IF(L132&gt;0,N132*100/L132,0)</f>
        <v>0</v>
      </c>
      <c r="P132" s="184">
        <f>IF(M132&gt;0,N132*100/M132,0)</f>
        <v>0</v>
      </c>
    </row>
    <row r="133" spans="1:16" ht="18.75" hidden="1" x14ac:dyDescent="0.25">
      <c r="A133" s="174"/>
      <c r="B133" s="16"/>
      <c r="C133" s="16"/>
      <c r="D133" s="16"/>
      <c r="E133" s="185" t="s">
        <v>19</v>
      </c>
      <c r="F133" s="16"/>
      <c r="G133" s="17"/>
      <c r="H133" s="186" t="s">
        <v>12</v>
      </c>
      <c r="I133" s="18"/>
      <c r="J133" s="18"/>
      <c r="K133" s="19"/>
      <c r="L133" s="177">
        <f ca="1">IFERROR(__xludf.DUMMYFUNCTION("IMPORTRANGE(""https://docs.google.com/spreadsheets/d/1-uDff_7J0KD5mKrp0Vvzr7lt3OU09vwQwhkpOPPYv2Y/edit?usp=sharing"",""งบพรบ!BJ25"")"),0)</f>
        <v>0</v>
      </c>
      <c r="M133" s="177">
        <f ca="1">IFERROR(__xludf.DUMMYFUNCTION("IMPORTRANGE(""https://docs.google.com/spreadsheets/d/1-uDff_7J0KD5mKrp0Vvzr7lt3OU09vwQwhkpOPPYv2Y/edit?usp=sharing"",""งบพรบ!BM25"")"),0)</f>
        <v>0</v>
      </c>
      <c r="N133" s="177">
        <f ca="1">IFERROR(__xludf.DUMMYFUNCTION("IMPORTRANGE(""https://docs.google.com/spreadsheets/d/1-uDff_7J0KD5mKrp0Vvzr7lt3OU09vwQwhkpOPPYv2Y/edit?usp=sharing"",""งบพรบ!BO25"")"),0)</f>
        <v>0</v>
      </c>
      <c r="O133" s="177">
        <f ca="1">IF(L133&gt;0,N133*100/L133,0)</f>
        <v>0</v>
      </c>
      <c r="P133" s="177">
        <f ca="1">IF(M133&gt;0,N133*100/M133,0)</f>
        <v>0</v>
      </c>
    </row>
    <row r="134" spans="1:16" ht="19.5" hidden="1" x14ac:dyDescent="0.3">
      <c r="A134" s="125" t="s">
        <v>51</v>
      </c>
      <c r="B134" s="126"/>
      <c r="C134" s="190"/>
      <c r="D134" s="126"/>
      <c r="E134" s="126"/>
      <c r="F134" s="126"/>
      <c r="G134" s="126"/>
      <c r="H134" s="126"/>
      <c r="I134" s="191"/>
      <c r="J134" s="191"/>
      <c r="K134" s="192"/>
      <c r="L134" s="130"/>
      <c r="M134" s="130"/>
      <c r="N134" s="130"/>
      <c r="O134" s="130"/>
      <c r="P134" s="130"/>
    </row>
    <row r="135" spans="1:16" ht="19.5" hidden="1" x14ac:dyDescent="0.3">
      <c r="A135" s="131"/>
      <c r="B135" s="132" t="s">
        <v>52</v>
      </c>
      <c r="C135" s="193"/>
      <c r="D135" s="133"/>
      <c r="E135" s="26"/>
      <c r="F135" s="26"/>
      <c r="G135" s="26"/>
      <c r="H135" s="26"/>
      <c r="I135" s="194"/>
      <c r="J135" s="31"/>
      <c r="K135" s="32"/>
      <c r="L135" s="32"/>
      <c r="M135" s="32"/>
      <c r="N135" s="32"/>
      <c r="O135" s="32"/>
      <c r="P135" s="32"/>
    </row>
    <row r="136" spans="1:16" ht="19.5" hidden="1" x14ac:dyDescent="0.3">
      <c r="A136" s="131"/>
      <c r="B136" s="26"/>
      <c r="C136" s="195" t="s">
        <v>53</v>
      </c>
      <c r="D136" s="133"/>
      <c r="E136" s="26"/>
      <c r="F136" s="26"/>
      <c r="G136" s="29"/>
      <c r="H136" s="134" t="s">
        <v>54</v>
      </c>
      <c r="I136" s="135">
        <f ca="1">I154</f>
        <v>0</v>
      </c>
      <c r="J136" s="135">
        <f>J154</f>
        <v>0</v>
      </c>
      <c r="K136" s="33">
        <f ca="1">IF(I136&gt;0,J136*100/I136,0)</f>
        <v>0</v>
      </c>
      <c r="L136" s="32"/>
      <c r="M136" s="32"/>
      <c r="N136" s="32"/>
      <c r="O136" s="32"/>
      <c r="P136" s="32"/>
    </row>
    <row r="137" spans="1:16" ht="19.5" hidden="1" x14ac:dyDescent="0.3">
      <c r="A137" s="131"/>
      <c r="B137" s="26"/>
      <c r="C137" s="195" t="s">
        <v>55</v>
      </c>
      <c r="D137" s="133"/>
      <c r="E137" s="26"/>
      <c r="F137" s="26"/>
      <c r="G137" s="29"/>
      <c r="H137" s="134" t="s">
        <v>33</v>
      </c>
      <c r="I137" s="135">
        <f ca="1">I152</f>
        <v>0</v>
      </c>
      <c r="J137" s="135">
        <f>J152</f>
        <v>0</v>
      </c>
      <c r="K137" s="33">
        <f ca="1">IF(I137&gt;0,J137*100/I137,0)</f>
        <v>0</v>
      </c>
      <c r="L137" s="32"/>
      <c r="M137" s="32"/>
      <c r="N137" s="32"/>
      <c r="O137" s="32"/>
      <c r="P137" s="32"/>
    </row>
    <row r="138" spans="1:16" ht="19.5" hidden="1" x14ac:dyDescent="0.3">
      <c r="A138" s="131"/>
      <c r="B138" s="26"/>
      <c r="C138" s="193"/>
      <c r="D138" s="133"/>
      <c r="E138" s="26"/>
      <c r="F138" s="26"/>
      <c r="G138" s="29"/>
      <c r="H138" s="134" t="s">
        <v>56</v>
      </c>
      <c r="I138" s="135">
        <f ca="1">I153</f>
        <v>0</v>
      </c>
      <c r="J138" s="135">
        <f>J153</f>
        <v>0</v>
      </c>
      <c r="K138" s="33">
        <f ca="1">IF(I138&gt;0,J138*100/I138,0)</f>
        <v>0</v>
      </c>
      <c r="L138" s="32"/>
      <c r="M138" s="32"/>
      <c r="N138" s="32"/>
      <c r="O138" s="32"/>
      <c r="P138" s="32"/>
    </row>
    <row r="139" spans="1:16" ht="19.5" hidden="1" x14ac:dyDescent="0.3">
      <c r="A139" s="136"/>
      <c r="B139" s="41"/>
      <c r="C139" s="197" t="s">
        <v>16</v>
      </c>
      <c r="D139" s="397" t="s">
        <v>17</v>
      </c>
      <c r="E139" s="41"/>
      <c r="F139" s="41"/>
      <c r="G139" s="43"/>
      <c r="H139" s="139" t="s">
        <v>12</v>
      </c>
      <c r="I139" s="45"/>
      <c r="J139" s="45"/>
      <c r="K139" s="46"/>
      <c r="L139" s="140">
        <f ca="1">L140+L141</f>
        <v>0</v>
      </c>
      <c r="M139" s="140">
        <f ca="1">M140+M141</f>
        <v>0</v>
      </c>
      <c r="N139" s="140">
        <f ca="1">N140+N141</f>
        <v>0</v>
      </c>
      <c r="O139" s="140">
        <f ca="1">IF(L139&gt;0,N139*100/L139,0)</f>
        <v>0</v>
      </c>
      <c r="P139" s="140">
        <f ca="1">IF(M139&gt;0,N139*100/M139,0)</f>
        <v>0</v>
      </c>
    </row>
    <row r="140" spans="1:16" ht="18.75" hidden="1" x14ac:dyDescent="0.25">
      <c r="A140" s="136"/>
      <c r="B140" s="41"/>
      <c r="C140" s="41"/>
      <c r="D140" s="41"/>
      <c r="E140" s="279" t="s">
        <v>18</v>
      </c>
      <c r="F140" s="41"/>
      <c r="G140" s="43"/>
      <c r="H140" s="141" t="s">
        <v>12</v>
      </c>
      <c r="I140" s="45"/>
      <c r="J140" s="45"/>
      <c r="K140" s="46"/>
      <c r="L140" s="50">
        <f>L143+L146</f>
        <v>0</v>
      </c>
      <c r="M140" s="50">
        <f>M143+M146</f>
        <v>0</v>
      </c>
      <c r="N140" s="50">
        <f>N143+N146</f>
        <v>0</v>
      </c>
      <c r="O140" s="50">
        <f>IF(L140&gt;0,N140*100/L140,0)</f>
        <v>0</v>
      </c>
      <c r="P140" s="50">
        <f>IF(M140&gt;0,N140*100/M140,0)</f>
        <v>0</v>
      </c>
    </row>
    <row r="141" spans="1:16" ht="18.75" hidden="1" x14ac:dyDescent="0.25">
      <c r="A141" s="136"/>
      <c r="B141" s="41"/>
      <c r="C141" s="41"/>
      <c r="D141" s="41"/>
      <c r="E141" s="254" t="s">
        <v>19</v>
      </c>
      <c r="F141" s="41"/>
      <c r="G141" s="43"/>
      <c r="H141" s="142" t="s">
        <v>12</v>
      </c>
      <c r="I141" s="45"/>
      <c r="J141" s="45"/>
      <c r="K141" s="46"/>
      <c r="L141" s="47">
        <f ca="1">L144+L147</f>
        <v>0</v>
      </c>
      <c r="M141" s="47">
        <f ca="1">M144+M147</f>
        <v>0</v>
      </c>
      <c r="N141" s="47">
        <f ca="1">N144+N147</f>
        <v>0</v>
      </c>
      <c r="O141" s="47">
        <f ca="1">IF(L141&gt;0,N141*100/L141,0)</f>
        <v>0</v>
      </c>
      <c r="P141" s="47">
        <f ca="1">IF(M141&gt;0,N141*100/M141,0)</f>
        <v>0</v>
      </c>
    </row>
    <row r="142" spans="1:16" ht="18.75" hidden="1" x14ac:dyDescent="0.25">
      <c r="A142" s="136"/>
      <c r="B142" s="41"/>
      <c r="C142" s="41"/>
      <c r="D142" s="42" t="s">
        <v>20</v>
      </c>
      <c r="E142" s="41"/>
      <c r="F142" s="41"/>
      <c r="G142" s="43"/>
      <c r="H142" s="143" t="s">
        <v>12</v>
      </c>
      <c r="I142" s="144"/>
      <c r="J142" s="144"/>
      <c r="K142" s="145"/>
      <c r="L142" s="47">
        <f ca="1">L143+L144</f>
        <v>0</v>
      </c>
      <c r="M142" s="47">
        <f ca="1">M143+M144</f>
        <v>0</v>
      </c>
      <c r="N142" s="47">
        <f ca="1">N143+N144</f>
        <v>0</v>
      </c>
      <c r="O142" s="47">
        <f ca="1">IF(L142&gt;0,N142*100/L142,0)</f>
        <v>0</v>
      </c>
      <c r="P142" s="47">
        <f ca="1">IF(M142&gt;0,N142*100/M142,0)</f>
        <v>0</v>
      </c>
    </row>
    <row r="143" spans="1:16" ht="18.75" hidden="1" x14ac:dyDescent="0.25">
      <c r="A143" s="136"/>
      <c r="B143" s="41"/>
      <c r="C143" s="41"/>
      <c r="D143" s="41"/>
      <c r="E143" s="279" t="s">
        <v>34</v>
      </c>
      <c r="F143" s="41"/>
      <c r="G143" s="43"/>
      <c r="H143" s="146" t="s">
        <v>12</v>
      </c>
      <c r="I143" s="144"/>
      <c r="J143" s="144"/>
      <c r="K143" s="145"/>
      <c r="L143" s="50">
        <v>0</v>
      </c>
      <c r="M143" s="50">
        <v>0</v>
      </c>
      <c r="N143" s="50">
        <v>0</v>
      </c>
      <c r="O143" s="50">
        <f>IF(L143&gt;0,N143*100/L143,0)</f>
        <v>0</v>
      </c>
      <c r="P143" s="50">
        <f>IF(M143&gt;0,N143*100/M143,0)</f>
        <v>0</v>
      </c>
    </row>
    <row r="144" spans="1:16" ht="18.75" hidden="1" x14ac:dyDescent="0.25">
      <c r="A144" s="136"/>
      <c r="B144" s="41"/>
      <c r="C144" s="41"/>
      <c r="D144" s="41"/>
      <c r="E144" s="254" t="s">
        <v>35</v>
      </c>
      <c r="F144" s="41"/>
      <c r="G144" s="43"/>
      <c r="H144" s="143" t="s">
        <v>12</v>
      </c>
      <c r="I144" s="144"/>
      <c r="J144" s="144"/>
      <c r="K144" s="145"/>
      <c r="L144" s="47">
        <f ca="1">IFERROR(__xludf.DUMMYFUNCTION("IMPORTRANGE(""https://docs.google.com/spreadsheets/d/1-uDff_7J0KD5mKrp0Vvzr7lt3OU09vwQwhkpOPPYv2Y/edit?usp=sharing"",""งบพรบ!BQ25"")"),0)</f>
        <v>0</v>
      </c>
      <c r="M144" s="47">
        <f ca="1">IFERROR(__xludf.DUMMYFUNCTION("IMPORTRANGE(""https://docs.google.com/spreadsheets/d/1-uDff_7J0KD5mKrp0Vvzr7lt3OU09vwQwhkpOPPYv2Y/edit?usp=sharing"",""งบพรบ!BV25"")"),0)</f>
        <v>0</v>
      </c>
      <c r="N144" s="47">
        <f ca="1">IFERROR(__xludf.DUMMYFUNCTION("IMPORTRANGE(""https://docs.google.com/spreadsheets/d/1-uDff_7J0KD5mKrp0Vvzr7lt3OU09vwQwhkpOPPYv2Y/edit?usp=sharing"",""งบพรบ!BX25"")"),0)</f>
        <v>0</v>
      </c>
      <c r="O144" s="47">
        <f ca="1">IF(L144&gt;0,N144*100/L144,0)</f>
        <v>0</v>
      </c>
      <c r="P144" s="47">
        <f ca="1">IF(M144&gt;0,N144*100/M144,0)</f>
        <v>0</v>
      </c>
    </row>
    <row r="145" spans="1:16" ht="18.75" hidden="1" x14ac:dyDescent="0.25">
      <c r="A145" s="136"/>
      <c r="B145" s="41"/>
      <c r="C145" s="41"/>
      <c r="D145" s="42" t="s">
        <v>21</v>
      </c>
      <c r="E145" s="41"/>
      <c r="F145" s="41"/>
      <c r="G145" s="43"/>
      <c r="H145" s="147" t="s">
        <v>12</v>
      </c>
      <c r="I145" s="144"/>
      <c r="J145" s="144"/>
      <c r="K145" s="145"/>
      <c r="L145" s="47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</row>
    <row r="146" spans="1:16" ht="18.75" hidden="1" x14ac:dyDescent="0.25">
      <c r="A146" s="136"/>
      <c r="B146" s="41"/>
      <c r="C146" s="41"/>
      <c r="D146" s="41"/>
      <c r="E146" s="279" t="s">
        <v>18</v>
      </c>
      <c r="F146" s="41"/>
      <c r="G146" s="43"/>
      <c r="H146" s="146" t="s">
        <v>12</v>
      </c>
      <c r="I146" s="144"/>
      <c r="J146" s="144"/>
      <c r="K146" s="145"/>
      <c r="L146" s="50">
        <v>0</v>
      </c>
      <c r="M146" s="50">
        <v>0</v>
      </c>
      <c r="N146" s="50">
        <v>0</v>
      </c>
      <c r="O146" s="50">
        <f>IF(L146&gt;0,N146*100/L146,0)</f>
        <v>0</v>
      </c>
      <c r="P146" s="50">
        <f>IF(M146&gt;0,N146*100/M146,0)</f>
        <v>0</v>
      </c>
    </row>
    <row r="147" spans="1:16" ht="18.75" hidden="1" x14ac:dyDescent="0.25">
      <c r="A147" s="136"/>
      <c r="B147" s="41"/>
      <c r="C147" s="41"/>
      <c r="D147" s="41"/>
      <c r="E147" s="254" t="s">
        <v>19</v>
      </c>
      <c r="F147" s="41"/>
      <c r="G147" s="43"/>
      <c r="H147" s="147" t="s">
        <v>12</v>
      </c>
      <c r="I147" s="144"/>
      <c r="J147" s="144"/>
      <c r="K147" s="145"/>
      <c r="L147" s="47">
        <f ca="1">IFERROR(__xludf.DUMMYFUNCTION("IMPORTRANGE(""https://docs.google.com/spreadsheets/d/1-uDff_7J0KD5mKrp0Vvzr7lt3OU09vwQwhkpOPPYv2Y/edit?usp=sharing"",""งบพรบ!BT25"")"),0)</f>
        <v>0</v>
      </c>
      <c r="M147" s="47">
        <f ca="1">IFERROR(__xludf.DUMMYFUNCTION("IMPORTRANGE(""https://docs.google.com/spreadsheets/d/1-uDff_7J0KD5mKrp0Vvzr7lt3OU09vwQwhkpOPPYv2Y/edit?usp=sharing"",""งบพรบ!BW25"")"),0)</f>
        <v>0</v>
      </c>
      <c r="N147" s="47">
        <f ca="1">IFERROR(__xludf.DUMMYFUNCTION("IMPORTRANGE(""https://docs.google.com/spreadsheets/d/1-uDff_7J0KD5mKrp0Vvzr7lt3OU09vwQwhkpOPPYv2Y/edit?usp=sharing"",""งบพรบ!BY25"")"),0)</f>
        <v>0</v>
      </c>
      <c r="O147" s="47">
        <f ca="1">IF(L147&gt;0,N147*100/L147,0)</f>
        <v>0</v>
      </c>
      <c r="P147" s="47">
        <f ca="1">IF(M147&gt;0,N147*100/M147,0)</f>
        <v>0</v>
      </c>
    </row>
    <row r="148" spans="1:16" ht="19.5" hidden="1" x14ac:dyDescent="0.3">
      <c r="A148" s="148"/>
      <c r="B148" s="149"/>
      <c r="C148" s="197" t="s">
        <v>16</v>
      </c>
      <c r="D148" s="395" t="s">
        <v>36</v>
      </c>
      <c r="E148" s="151"/>
      <c r="F148" s="151"/>
      <c r="G148" s="152"/>
      <c r="H148" s="196"/>
      <c r="I148" s="45"/>
      <c r="J148" s="45"/>
      <c r="K148" s="46"/>
      <c r="L148" s="46"/>
      <c r="M148" s="46"/>
      <c r="N148" s="46"/>
      <c r="O148" s="46"/>
      <c r="P148" s="46"/>
    </row>
    <row r="149" spans="1:16" ht="18.75" hidden="1" x14ac:dyDescent="0.25">
      <c r="A149" s="136"/>
      <c r="B149" s="41"/>
      <c r="C149" s="41"/>
      <c r="D149" s="254" t="s">
        <v>57</v>
      </c>
      <c r="E149" s="41"/>
      <c r="F149" s="41"/>
      <c r="G149" s="43"/>
      <c r="H149" s="196"/>
      <c r="I149" s="45"/>
      <c r="J149" s="250">
        <v>0</v>
      </c>
      <c r="K149" s="46"/>
      <c r="L149" s="46"/>
      <c r="M149" s="46"/>
      <c r="N149" s="46"/>
      <c r="O149" s="46"/>
      <c r="P149" s="46"/>
    </row>
    <row r="150" spans="1:16" ht="19.5" hidden="1" x14ac:dyDescent="0.3">
      <c r="A150" s="136"/>
      <c r="B150" s="41"/>
      <c r="C150" s="41"/>
      <c r="D150" s="155"/>
      <c r="E150" s="197" t="s">
        <v>58</v>
      </c>
      <c r="F150" s="41"/>
      <c r="G150" s="43"/>
      <c r="H150" s="147" t="s">
        <v>33</v>
      </c>
      <c r="I150" s="169">
        <f ca="1">IFERROR(__xludf.DUMMYFUNCTION("IMPORTRANGE(""https://docs.google.com/spreadsheets/d/1eHaY18a8A9IcSdp1K8H6x8fbOy06t2VsZHhMHf-1x7Y/edit?usp=sharing"",""แผน!U25"")"),0)</f>
        <v>0</v>
      </c>
      <c r="J150" s="250">
        <v>0</v>
      </c>
      <c r="K150" s="47">
        <f ca="1">IF(I150&gt;0,J150*100/I150,0)</f>
        <v>0</v>
      </c>
      <c r="L150" s="46"/>
      <c r="M150" s="46"/>
      <c r="N150" s="46"/>
      <c r="O150" s="46"/>
      <c r="P150" s="46"/>
    </row>
    <row r="151" spans="1:16" ht="18.75" hidden="1" x14ac:dyDescent="0.25">
      <c r="A151" s="136"/>
      <c r="B151" s="41"/>
      <c r="C151" s="41"/>
      <c r="D151" s="155"/>
      <c r="E151" s="41"/>
      <c r="F151" s="41"/>
      <c r="G151" s="43"/>
      <c r="H151" s="147" t="s">
        <v>56</v>
      </c>
      <c r="I151" s="169">
        <f ca="1">IFERROR(__xludf.DUMMYFUNCTION("IMPORTRANGE(""https://docs.google.com/spreadsheets/d/1eHaY18a8A9IcSdp1K8H6x8fbOy06t2VsZHhMHf-1x7Y/edit?usp=sharing"",""แผน!V25"")"),0)</f>
        <v>0</v>
      </c>
      <c r="J151" s="250">
        <v>0</v>
      </c>
      <c r="K151" s="47">
        <f ca="1">IF(I151&gt;0,J151*100/I151,0)</f>
        <v>0</v>
      </c>
      <c r="L151" s="46"/>
      <c r="M151" s="46"/>
      <c r="N151" s="46"/>
      <c r="O151" s="46"/>
      <c r="P151" s="46"/>
    </row>
    <row r="152" spans="1:16" ht="19.5" hidden="1" x14ac:dyDescent="0.3">
      <c r="A152" s="136"/>
      <c r="B152" s="41"/>
      <c r="C152" s="41"/>
      <c r="D152" s="155"/>
      <c r="E152" s="197" t="s">
        <v>59</v>
      </c>
      <c r="F152" s="41"/>
      <c r="G152" s="43"/>
      <c r="H152" s="147" t="s">
        <v>33</v>
      </c>
      <c r="I152" s="169">
        <f ca="1">IFERROR(__xludf.DUMMYFUNCTION("IMPORTRANGE(""https://docs.google.com/spreadsheets/d/1eHaY18a8A9IcSdp1K8H6x8fbOy06t2VsZHhMHf-1x7Y/edit?usp=sharing"",""แผน!W25"")"),0)</f>
        <v>0</v>
      </c>
      <c r="J152" s="250">
        <v>0</v>
      </c>
      <c r="K152" s="47">
        <f ca="1">IF(I152&gt;0,J152*100/I152,0)</f>
        <v>0</v>
      </c>
      <c r="L152" s="46"/>
      <c r="M152" s="46"/>
      <c r="N152" s="46"/>
      <c r="O152" s="46"/>
      <c r="P152" s="46"/>
    </row>
    <row r="153" spans="1:16" ht="18.75" hidden="1" x14ac:dyDescent="0.25">
      <c r="A153" s="136"/>
      <c r="B153" s="41"/>
      <c r="C153" s="41"/>
      <c r="D153" s="41"/>
      <c r="E153" s="41"/>
      <c r="F153" s="41"/>
      <c r="G153" s="43"/>
      <c r="H153" s="147" t="s">
        <v>56</v>
      </c>
      <c r="I153" s="169">
        <f ca="1">IFERROR(__xludf.DUMMYFUNCTION("IMPORTRANGE(""https://docs.google.com/spreadsheets/d/1eHaY18a8A9IcSdp1K8H6x8fbOy06t2VsZHhMHf-1x7Y/edit?usp=sharing"",""แผน!X25"")"),0)</f>
        <v>0</v>
      </c>
      <c r="J153" s="250">
        <v>0</v>
      </c>
      <c r="K153" s="47">
        <f ca="1">IF(I153&gt;0,J153*100/I153,0)</f>
        <v>0</v>
      </c>
      <c r="L153" s="46"/>
      <c r="M153" s="46"/>
      <c r="N153" s="46"/>
      <c r="O153" s="46"/>
      <c r="P153" s="46"/>
    </row>
    <row r="154" spans="1:16" ht="18.75" hidden="1" x14ac:dyDescent="0.25">
      <c r="A154" s="136"/>
      <c r="B154" s="41"/>
      <c r="C154" s="41"/>
      <c r="D154" s="254" t="s">
        <v>60</v>
      </c>
      <c r="E154" s="41"/>
      <c r="F154" s="41"/>
      <c r="G154" s="43"/>
      <c r="H154" s="147" t="s">
        <v>54</v>
      </c>
      <c r="I154" s="169">
        <f ca="1">IFERROR(__xludf.DUMMYFUNCTION("IMPORTRANGE(""https://docs.google.com/spreadsheets/d/1eHaY18a8A9IcSdp1K8H6x8fbOy06t2VsZHhMHf-1x7Y/edit?usp=sharing"",""แผน!Y25"")"),0)</f>
        <v>0</v>
      </c>
      <c r="J154" s="250">
        <v>0</v>
      </c>
      <c r="K154" s="47">
        <f ca="1">IF(I154&gt;0,J154*100/I154,0)</f>
        <v>0</v>
      </c>
      <c r="L154" s="46"/>
      <c r="M154" s="46"/>
      <c r="N154" s="46"/>
      <c r="O154" s="46"/>
      <c r="P154" s="46"/>
    </row>
    <row r="155" spans="1:16" ht="19.5" x14ac:dyDescent="0.3">
      <c r="A155" s="125" t="s">
        <v>61</v>
      </c>
      <c r="B155" s="126"/>
      <c r="C155" s="190"/>
      <c r="D155" s="126"/>
      <c r="E155" s="126"/>
      <c r="F155" s="126"/>
      <c r="G155" s="126"/>
      <c r="H155" s="126"/>
      <c r="I155" s="191"/>
      <c r="J155" s="191"/>
      <c r="K155" s="192"/>
      <c r="L155" s="130"/>
      <c r="M155" s="130"/>
      <c r="N155" s="130"/>
      <c r="O155" s="130"/>
      <c r="P155" s="130"/>
    </row>
    <row r="156" spans="1:16" ht="19.5" x14ac:dyDescent="0.3">
      <c r="A156" s="131"/>
      <c r="B156" s="132" t="s">
        <v>62</v>
      </c>
      <c r="C156" s="26"/>
      <c r="D156" s="26"/>
      <c r="E156" s="26"/>
      <c r="F156" s="26"/>
      <c r="G156" s="29"/>
      <c r="H156" s="198" t="s">
        <v>33</v>
      </c>
      <c r="I156" s="135">
        <f ca="1">I167</f>
        <v>10</v>
      </c>
      <c r="J156" s="135">
        <f>J167</f>
        <v>0</v>
      </c>
      <c r="K156" s="33">
        <f ca="1">IF(I156&gt;0,J156*100/I156,0)</f>
        <v>0</v>
      </c>
      <c r="L156" s="32"/>
      <c r="M156" s="32"/>
      <c r="N156" s="32"/>
      <c r="O156" s="32"/>
      <c r="P156" s="32"/>
    </row>
    <row r="157" spans="1:16" ht="19.5" x14ac:dyDescent="0.3">
      <c r="A157" s="136"/>
      <c r="B157" s="41"/>
      <c r="C157" s="197" t="s">
        <v>16</v>
      </c>
      <c r="D157" s="397" t="s">
        <v>17</v>
      </c>
      <c r="E157" s="41"/>
      <c r="F157" s="41"/>
      <c r="G157" s="43"/>
      <c r="H157" s="139" t="s">
        <v>12</v>
      </c>
      <c r="I157" s="45"/>
      <c r="J157" s="45"/>
      <c r="K157" s="46"/>
      <c r="L157" s="140">
        <f ca="1">L158+L159</f>
        <v>3000</v>
      </c>
      <c r="M157" s="140">
        <f ca="1">M158+M159</f>
        <v>0</v>
      </c>
      <c r="N157" s="140">
        <f ca="1">N158+N159</f>
        <v>0</v>
      </c>
      <c r="O157" s="140">
        <f ca="1">IF(L157&gt;0,N157*100/L157,0)</f>
        <v>0</v>
      </c>
      <c r="P157" s="140">
        <f ca="1">IF(M157&gt;0,N157*100/M157,0)</f>
        <v>0</v>
      </c>
    </row>
    <row r="158" spans="1:16" ht="18.75" hidden="1" x14ac:dyDescent="0.25">
      <c r="A158" s="136"/>
      <c r="B158" s="41"/>
      <c r="C158" s="41"/>
      <c r="D158" s="41"/>
      <c r="E158" s="279" t="s">
        <v>18</v>
      </c>
      <c r="F158" s="41"/>
      <c r="G158" s="43"/>
      <c r="H158" s="141" t="s">
        <v>12</v>
      </c>
      <c r="I158" s="45"/>
      <c r="J158" s="45"/>
      <c r="K158" s="46"/>
      <c r="L158" s="50">
        <f>L161+L164</f>
        <v>0</v>
      </c>
      <c r="M158" s="50">
        <f>M161+M164</f>
        <v>0</v>
      </c>
      <c r="N158" s="50">
        <f>N161+N164</f>
        <v>0</v>
      </c>
      <c r="O158" s="50">
        <f>IF(L158&gt;0,N158*100/L158,0)</f>
        <v>0</v>
      </c>
      <c r="P158" s="50">
        <f>IF(M158&gt;0,N158*100/M158,0)</f>
        <v>0</v>
      </c>
    </row>
    <row r="159" spans="1:16" ht="18.75" x14ac:dyDescent="0.25">
      <c r="A159" s="136"/>
      <c r="B159" s="41"/>
      <c r="C159" s="41"/>
      <c r="D159" s="41"/>
      <c r="E159" s="254" t="s">
        <v>19</v>
      </c>
      <c r="F159" s="41"/>
      <c r="G159" s="43"/>
      <c r="H159" s="142" t="s">
        <v>12</v>
      </c>
      <c r="I159" s="45"/>
      <c r="J159" s="45"/>
      <c r="K159" s="46"/>
      <c r="L159" s="47">
        <f ca="1">L162+L165</f>
        <v>3000</v>
      </c>
      <c r="M159" s="47">
        <f ca="1">M162+M165</f>
        <v>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</row>
    <row r="160" spans="1:16" ht="18.75" x14ac:dyDescent="0.25">
      <c r="A160" s="136"/>
      <c r="B160" s="41"/>
      <c r="C160" s="41"/>
      <c r="D160" s="42" t="s">
        <v>20</v>
      </c>
      <c r="E160" s="41"/>
      <c r="F160" s="41"/>
      <c r="G160" s="43"/>
      <c r="H160" s="143" t="s">
        <v>12</v>
      </c>
      <c r="I160" s="144"/>
      <c r="J160" s="144"/>
      <c r="K160" s="145"/>
      <c r="L160" s="47">
        <f ca="1">L161+L162</f>
        <v>3000</v>
      </c>
      <c r="M160" s="47">
        <f ca="1">M161+M162</f>
        <v>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</row>
    <row r="161" spans="1:16" ht="18.75" hidden="1" x14ac:dyDescent="0.25">
      <c r="A161" s="136"/>
      <c r="B161" s="41"/>
      <c r="C161" s="41"/>
      <c r="D161" s="41"/>
      <c r="E161" s="279" t="s">
        <v>34</v>
      </c>
      <c r="F161" s="41"/>
      <c r="G161" s="43"/>
      <c r="H161" s="146" t="s">
        <v>12</v>
      </c>
      <c r="I161" s="144"/>
      <c r="J161" s="144"/>
      <c r="K161" s="145"/>
      <c r="L161" s="50">
        <v>0</v>
      </c>
      <c r="M161" s="50">
        <v>0</v>
      </c>
      <c r="N161" s="50">
        <v>0</v>
      </c>
      <c r="O161" s="50">
        <f>IF(L161&gt;0,N161*100/L161,0)</f>
        <v>0</v>
      </c>
      <c r="P161" s="50">
        <f>IF(M161&gt;0,N161*100/M161,0)</f>
        <v>0</v>
      </c>
    </row>
    <row r="162" spans="1:16" ht="18.75" x14ac:dyDescent="0.25">
      <c r="A162" s="136"/>
      <c r="B162" s="41"/>
      <c r="C162" s="41"/>
      <c r="D162" s="41"/>
      <c r="E162" s="254" t="s">
        <v>35</v>
      </c>
      <c r="F162" s="41"/>
      <c r="G162" s="43"/>
      <c r="H162" s="143" t="s">
        <v>12</v>
      </c>
      <c r="I162" s="144"/>
      <c r="J162" s="144"/>
      <c r="K162" s="145"/>
      <c r="L162" s="47">
        <f ca="1">IFERROR(__xludf.DUMMYFUNCTION("IMPORTRANGE(""https://docs.google.com/spreadsheets/d/1-uDff_7J0KD5mKrp0Vvzr7lt3OU09vwQwhkpOPPYv2Y/edit?usp=sharing"",""งบพรบ!CA25"")"),3000)</f>
        <v>3000</v>
      </c>
      <c r="M162" s="47">
        <f ca="1">IFERROR(__xludf.DUMMYFUNCTION("IMPORTRANGE(""https://docs.google.com/spreadsheets/d/1-uDff_7J0KD5mKrp0Vvzr7lt3OU09vwQwhkpOPPYv2Y/edit?usp=sharing"",""งบพรบ!CF25"")"),0)</f>
        <v>0</v>
      </c>
      <c r="N162" s="47">
        <f ca="1">IFERROR(__xludf.DUMMYFUNCTION("IMPORTRANGE(""https://docs.google.com/spreadsheets/d/1-uDff_7J0KD5mKrp0Vvzr7lt3OU09vwQwhkpOPPYv2Y/edit?usp=sharing"",""งบพรบ!CH25"")"),0)</f>
        <v>0</v>
      </c>
      <c r="O162" s="47">
        <f ca="1">IF(L162&gt;0,N162*100/L162,0)</f>
        <v>0</v>
      </c>
      <c r="P162" s="47">
        <f ca="1">IF(M162&gt;0,N162*100/M162,0)</f>
        <v>0</v>
      </c>
    </row>
    <row r="163" spans="1:16" ht="18.75" x14ac:dyDescent="0.25">
      <c r="A163" s="136"/>
      <c r="B163" s="41"/>
      <c r="C163" s="41"/>
      <c r="D163" s="42" t="s">
        <v>21</v>
      </c>
      <c r="E163" s="41"/>
      <c r="F163" s="41"/>
      <c r="G163" s="43"/>
      <c r="H163" s="147" t="s">
        <v>12</v>
      </c>
      <c r="I163" s="144"/>
      <c r="J163" s="144"/>
      <c r="K163" s="145"/>
      <c r="L163" s="47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</row>
    <row r="164" spans="1:16" ht="18.75" hidden="1" x14ac:dyDescent="0.25">
      <c r="A164" s="136"/>
      <c r="B164" s="41"/>
      <c r="C164" s="41"/>
      <c r="D164" s="41"/>
      <c r="E164" s="279" t="s">
        <v>18</v>
      </c>
      <c r="F164" s="41"/>
      <c r="G164" s="43"/>
      <c r="H164" s="146" t="s">
        <v>12</v>
      </c>
      <c r="I164" s="144"/>
      <c r="J164" s="144"/>
      <c r="K164" s="145"/>
      <c r="L164" s="50">
        <v>0</v>
      </c>
      <c r="M164" s="50">
        <v>0</v>
      </c>
      <c r="N164" s="50">
        <v>0</v>
      </c>
      <c r="O164" s="50">
        <f>IF(L164&gt;0,N164*100/L164,0)</f>
        <v>0</v>
      </c>
      <c r="P164" s="50">
        <f>IF(M164&gt;0,N164*100/M164,0)</f>
        <v>0</v>
      </c>
    </row>
    <row r="165" spans="1:16" ht="18.75" x14ac:dyDescent="0.25">
      <c r="A165" s="136"/>
      <c r="B165" s="41"/>
      <c r="C165" s="41"/>
      <c r="D165" s="41"/>
      <c r="E165" s="254" t="s">
        <v>19</v>
      </c>
      <c r="F165" s="41"/>
      <c r="G165" s="43"/>
      <c r="H165" s="147" t="s">
        <v>12</v>
      </c>
      <c r="I165" s="144"/>
      <c r="J165" s="144"/>
      <c r="K165" s="145"/>
      <c r="L165" s="47">
        <f ca="1">IFERROR(__xludf.DUMMYFUNCTION("IMPORTRANGE(""https://docs.google.com/spreadsheets/d/1-uDff_7J0KD5mKrp0Vvzr7lt3OU09vwQwhkpOPPYv2Y/edit?usp=sharing"",""งบพรบ!CD25"")"),0)</f>
        <v>0</v>
      </c>
      <c r="M165" s="47">
        <f ca="1">IFERROR(__xludf.DUMMYFUNCTION("IMPORTRANGE(""https://docs.google.com/spreadsheets/d/1-uDff_7J0KD5mKrp0Vvzr7lt3OU09vwQwhkpOPPYv2Y/edit?usp=sharing"",""งบพรบ!CG25"")"),0)</f>
        <v>0</v>
      </c>
      <c r="N165" s="47">
        <f ca="1">IFERROR(__xludf.DUMMYFUNCTION("IMPORTRANGE(""https://docs.google.com/spreadsheets/d/1-uDff_7J0KD5mKrp0Vvzr7lt3OU09vwQwhkpOPPYv2Y/edit?usp=sharing"",""งบพรบ!CI25"")"),0)</f>
        <v>0</v>
      </c>
      <c r="O165" s="47">
        <f ca="1">IF(L165&gt;0,N165*100/L165,0)</f>
        <v>0</v>
      </c>
      <c r="P165" s="47">
        <f ca="1">IF(M165&gt;0,N165*100/M165,0)</f>
        <v>0</v>
      </c>
    </row>
    <row r="166" spans="1:16" ht="19.5" x14ac:dyDescent="0.3">
      <c r="A166" s="148"/>
      <c r="B166" s="149"/>
      <c r="C166" s="197" t="s">
        <v>16</v>
      </c>
      <c r="D166" s="395" t="s">
        <v>36</v>
      </c>
      <c r="E166" s="151"/>
      <c r="F166" s="151"/>
      <c r="G166" s="152"/>
      <c r="H166" s="196"/>
      <c r="I166" s="45"/>
      <c r="J166" s="45"/>
      <c r="K166" s="46"/>
      <c r="L166" s="46"/>
      <c r="M166" s="46"/>
      <c r="N166" s="46"/>
      <c r="O166" s="46"/>
      <c r="P166" s="46"/>
    </row>
    <row r="167" spans="1:16" ht="18.75" x14ac:dyDescent="0.25">
      <c r="A167" s="136"/>
      <c r="B167" s="41"/>
      <c r="C167" s="41"/>
      <c r="D167" s="254" t="s">
        <v>63</v>
      </c>
      <c r="E167" s="41"/>
      <c r="F167" s="41"/>
      <c r="G167" s="43"/>
      <c r="H167" s="147" t="s">
        <v>33</v>
      </c>
      <c r="I167" s="169">
        <f ca="1">IFERROR(__xludf.DUMMYFUNCTION("IMPORTRANGE(""https://docs.google.com/spreadsheets/d/1eHaY18a8A9IcSdp1K8H6x8fbOy06t2VsZHhMHf-1x7Y/edit?usp=sharing"",""แผน!Z25"")"),10)</f>
        <v>10</v>
      </c>
      <c r="J167" s="250">
        <v>0</v>
      </c>
      <c r="K167" s="47">
        <f ca="1">IF(I167&gt;0,J167*100/I167,0)</f>
        <v>0</v>
      </c>
      <c r="L167" s="46"/>
      <c r="M167" s="46"/>
      <c r="N167" s="46"/>
      <c r="O167" s="46"/>
      <c r="P167" s="46"/>
    </row>
    <row r="168" spans="1:16" ht="18.75" hidden="1" x14ac:dyDescent="0.25">
      <c r="A168" s="136"/>
      <c r="B168" s="41"/>
      <c r="C168" s="41"/>
      <c r="D168" s="279" t="s">
        <v>64</v>
      </c>
      <c r="E168" s="41"/>
      <c r="F168" s="41"/>
      <c r="G168" s="43"/>
      <c r="H168" s="199" t="s">
        <v>33</v>
      </c>
      <c r="I168" s="200">
        <f ca="1">I167</f>
        <v>10</v>
      </c>
      <c r="J168" s="201">
        <v>0</v>
      </c>
      <c r="K168" s="50">
        <f ca="1">IF(I168&gt;0,J168*100/I168,0)</f>
        <v>0</v>
      </c>
      <c r="L168" s="46"/>
      <c r="M168" s="46"/>
      <c r="N168" s="46"/>
      <c r="O168" s="46"/>
      <c r="P168" s="46"/>
    </row>
    <row r="169" spans="1:16" ht="18.75" hidden="1" x14ac:dyDescent="0.25">
      <c r="A169" s="202"/>
      <c r="B169" s="1"/>
      <c r="C169" s="1"/>
      <c r="D169" s="203" t="s">
        <v>65</v>
      </c>
      <c r="E169" s="1"/>
      <c r="F169" s="1"/>
      <c r="G169" s="54"/>
      <c r="H169" s="204" t="s">
        <v>33</v>
      </c>
      <c r="I169" s="205">
        <f ca="1">I167</f>
        <v>10</v>
      </c>
      <c r="J169" s="206">
        <v>0</v>
      </c>
      <c r="K169" s="207">
        <f ca="1">IF(I169&gt;0,J169*100/I169,0)</f>
        <v>0</v>
      </c>
      <c r="L169" s="57"/>
      <c r="M169" s="57"/>
      <c r="N169" s="57"/>
      <c r="O169" s="57"/>
      <c r="P169" s="57"/>
    </row>
    <row r="170" spans="1:16" ht="19.5" x14ac:dyDescent="0.3">
      <c r="A170" s="208" t="s">
        <v>66</v>
      </c>
      <c r="B170" s="209"/>
      <c r="C170" s="209"/>
      <c r="D170" s="209"/>
      <c r="E170" s="210"/>
      <c r="F170" s="210"/>
      <c r="G170" s="210"/>
      <c r="H170" s="210"/>
      <c r="I170" s="211"/>
      <c r="J170" s="211"/>
      <c r="K170" s="212"/>
      <c r="L170" s="212"/>
      <c r="M170" s="212"/>
      <c r="N170" s="212"/>
      <c r="O170" s="212"/>
      <c r="P170" s="213"/>
    </row>
    <row r="171" spans="1:16" ht="19.5" x14ac:dyDescent="0.3">
      <c r="A171" s="214" t="s">
        <v>67</v>
      </c>
      <c r="B171" s="215"/>
      <c r="C171" s="215"/>
      <c r="D171" s="216"/>
      <c r="E171" s="216"/>
      <c r="F171" s="216"/>
      <c r="G171" s="216"/>
      <c r="H171" s="217"/>
      <c r="I171" s="218"/>
      <c r="J171" s="218"/>
      <c r="K171" s="219"/>
      <c r="L171" s="219"/>
      <c r="M171" s="219"/>
      <c r="N171" s="219"/>
      <c r="O171" s="219"/>
      <c r="P171" s="219"/>
    </row>
    <row r="172" spans="1:16" ht="19.5" x14ac:dyDescent="0.3">
      <c r="A172" s="220"/>
      <c r="B172" s="221" t="s">
        <v>68</v>
      </c>
      <c r="C172" s="222"/>
      <c r="D172" s="151"/>
      <c r="E172" s="151"/>
      <c r="F172" s="151"/>
      <c r="G172" s="152"/>
      <c r="H172" s="223" t="s">
        <v>33</v>
      </c>
      <c r="I172" s="224">
        <f ca="1">I183+I184</f>
        <v>7</v>
      </c>
      <c r="J172" s="224">
        <f>J183+J184</f>
        <v>7</v>
      </c>
      <c r="K172" s="225">
        <f ca="1">IF(I172&gt;0,J172*100/I172,0)</f>
        <v>100</v>
      </c>
      <c r="L172" s="226"/>
      <c r="M172" s="226"/>
      <c r="N172" s="226"/>
      <c r="O172" s="226"/>
      <c r="P172" s="226"/>
    </row>
    <row r="173" spans="1:16" ht="19.5" x14ac:dyDescent="0.3">
      <c r="A173" s="136"/>
      <c r="B173" s="41"/>
      <c r="C173" s="197" t="s">
        <v>16</v>
      </c>
      <c r="D173" s="397" t="s">
        <v>17</v>
      </c>
      <c r="E173" s="41"/>
      <c r="F173" s="41"/>
      <c r="G173" s="43"/>
      <c r="H173" s="139" t="s">
        <v>12</v>
      </c>
      <c r="I173" s="45"/>
      <c r="J173" s="45"/>
      <c r="K173" s="46"/>
      <c r="L173" s="140">
        <f ca="1">L174+L175</f>
        <v>19590</v>
      </c>
      <c r="M173" s="140">
        <f ca="1">M174+M175</f>
        <v>19590</v>
      </c>
      <c r="N173" s="140">
        <f ca="1">N174+N175</f>
        <v>17810</v>
      </c>
      <c r="O173" s="140">
        <f ca="1">IF(L173&gt;0,N173*100/L173,0)</f>
        <v>90.913731495661054</v>
      </c>
      <c r="P173" s="140">
        <f ca="1">IF(M173&gt;0,N173*100/M173,0)</f>
        <v>90.913731495661054</v>
      </c>
    </row>
    <row r="174" spans="1:16" ht="18.75" hidden="1" x14ac:dyDescent="0.25">
      <c r="A174" s="136"/>
      <c r="B174" s="41"/>
      <c r="C174" s="41"/>
      <c r="D174" s="41"/>
      <c r="E174" s="279" t="s">
        <v>18</v>
      </c>
      <c r="F174" s="41"/>
      <c r="G174" s="43"/>
      <c r="H174" s="141" t="s">
        <v>12</v>
      </c>
      <c r="I174" s="45"/>
      <c r="J174" s="45"/>
      <c r="K174" s="46"/>
      <c r="L174" s="50">
        <f>L177+L180</f>
        <v>0</v>
      </c>
      <c r="M174" s="50">
        <f>M177+M180</f>
        <v>0</v>
      </c>
      <c r="N174" s="50">
        <f>N177+N180</f>
        <v>0</v>
      </c>
      <c r="O174" s="50">
        <f>IF(L174&gt;0,N174*100/L174,0)</f>
        <v>0</v>
      </c>
      <c r="P174" s="50">
        <f>IF(M174&gt;0,N174*100/M174,0)</f>
        <v>0</v>
      </c>
    </row>
    <row r="175" spans="1:16" ht="18.75" x14ac:dyDescent="0.25">
      <c r="A175" s="136"/>
      <c r="B175" s="41"/>
      <c r="C175" s="41"/>
      <c r="D175" s="41"/>
      <c r="E175" s="254" t="s">
        <v>19</v>
      </c>
      <c r="F175" s="41"/>
      <c r="G175" s="43"/>
      <c r="H175" s="142" t="s">
        <v>12</v>
      </c>
      <c r="I175" s="45"/>
      <c r="J175" s="45"/>
      <c r="K175" s="46"/>
      <c r="L175" s="47">
        <f ca="1">L178+L181</f>
        <v>19590</v>
      </c>
      <c r="M175" s="47">
        <f ca="1">M178+M181</f>
        <v>19590</v>
      </c>
      <c r="N175" s="47">
        <f ca="1">N178+N181</f>
        <v>17810</v>
      </c>
      <c r="O175" s="47">
        <f ca="1">IF(L175&gt;0,N175*100/L175,0)</f>
        <v>90.913731495661054</v>
      </c>
      <c r="P175" s="47">
        <f ca="1">IF(M175&gt;0,N175*100/M175,0)</f>
        <v>90.913731495661054</v>
      </c>
    </row>
    <row r="176" spans="1:16" ht="18.75" x14ac:dyDescent="0.25">
      <c r="A176" s="136"/>
      <c r="B176" s="41"/>
      <c r="C176" s="41"/>
      <c r="D176" s="42" t="s">
        <v>20</v>
      </c>
      <c r="E176" s="41"/>
      <c r="F176" s="41"/>
      <c r="G176" s="43"/>
      <c r="H176" s="143" t="s">
        <v>12</v>
      </c>
      <c r="I176" s="144"/>
      <c r="J176" s="144"/>
      <c r="K176" s="145"/>
      <c r="L176" s="47">
        <f ca="1">L177+L178</f>
        <v>19590</v>
      </c>
      <c r="M176" s="47">
        <f ca="1">M177+M178</f>
        <v>19590</v>
      </c>
      <c r="N176" s="47">
        <f ca="1">N177+N178</f>
        <v>17810</v>
      </c>
      <c r="O176" s="47">
        <f ca="1">IF(L176&gt;0,N176*100/L176,0)</f>
        <v>90.913731495661054</v>
      </c>
      <c r="P176" s="47">
        <f ca="1">IF(M176&gt;0,N176*100/M176,0)</f>
        <v>90.913731495661054</v>
      </c>
    </row>
    <row r="177" spans="1:16" ht="18.75" hidden="1" x14ac:dyDescent="0.25">
      <c r="A177" s="136"/>
      <c r="B177" s="41"/>
      <c r="C177" s="41"/>
      <c r="D177" s="41"/>
      <c r="E177" s="279" t="s">
        <v>34</v>
      </c>
      <c r="F177" s="41"/>
      <c r="G177" s="43"/>
      <c r="H177" s="146" t="s">
        <v>12</v>
      </c>
      <c r="I177" s="144"/>
      <c r="J177" s="144"/>
      <c r="K177" s="145"/>
      <c r="L177" s="50">
        <v>0</v>
      </c>
      <c r="M177" s="50">
        <v>0</v>
      </c>
      <c r="N177" s="50">
        <v>0</v>
      </c>
      <c r="O177" s="50">
        <f>IF(L177&gt;0,N177*100/L177,0)</f>
        <v>0</v>
      </c>
      <c r="P177" s="50">
        <f>IF(M177&gt;0,N177*100/M177,0)</f>
        <v>0</v>
      </c>
    </row>
    <row r="178" spans="1:16" ht="18.75" x14ac:dyDescent="0.25">
      <c r="A178" s="136"/>
      <c r="B178" s="41"/>
      <c r="C178" s="41"/>
      <c r="D178" s="41"/>
      <c r="E178" s="254" t="s">
        <v>35</v>
      </c>
      <c r="F178" s="41"/>
      <c r="G178" s="43"/>
      <c r="H178" s="143" t="s">
        <v>12</v>
      </c>
      <c r="I178" s="144"/>
      <c r="J178" s="144"/>
      <c r="K178" s="145"/>
      <c r="L178" s="47">
        <f ca="1">IFERROR(__xludf.DUMMYFUNCTION("IMPORTRANGE(""https://docs.google.com/spreadsheets/d/1-uDff_7J0KD5mKrp0Vvzr7lt3OU09vwQwhkpOPPYv2Y/edit?usp=sharing"",""งบพรบ!CK25"")"),19590)</f>
        <v>19590</v>
      </c>
      <c r="M178" s="47">
        <f ca="1">IFERROR(__xludf.DUMMYFUNCTION("IMPORTRANGE(""https://docs.google.com/spreadsheets/d/1-uDff_7J0KD5mKrp0Vvzr7lt3OU09vwQwhkpOPPYv2Y/edit?usp=sharing"",""งบพรบ!CP25"")"),19590)</f>
        <v>19590</v>
      </c>
      <c r="N178" s="47">
        <f ca="1">IFERROR(__xludf.DUMMYFUNCTION("IMPORTRANGE(""https://docs.google.com/spreadsheets/d/1-uDff_7J0KD5mKrp0Vvzr7lt3OU09vwQwhkpOPPYv2Y/edit?usp=sharing"",""งบพรบ!CR25"")"),17810)</f>
        <v>17810</v>
      </c>
      <c r="O178" s="47">
        <f ca="1">IF(L178&gt;0,N178*100/L178,0)</f>
        <v>90.913731495661054</v>
      </c>
      <c r="P178" s="47">
        <f ca="1">IF(M178&gt;0,N178*100/M178,0)</f>
        <v>90.913731495661054</v>
      </c>
    </row>
    <row r="179" spans="1:16" ht="18.75" x14ac:dyDescent="0.25">
      <c r="A179" s="136"/>
      <c r="B179" s="41"/>
      <c r="C179" s="41"/>
      <c r="D179" s="42" t="s">
        <v>21</v>
      </c>
      <c r="E179" s="41"/>
      <c r="F179" s="41"/>
      <c r="G179" s="43"/>
      <c r="H179" s="147" t="s">
        <v>12</v>
      </c>
      <c r="I179" s="144"/>
      <c r="J179" s="144"/>
      <c r="K179" s="145"/>
      <c r="L179" s="47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</row>
    <row r="180" spans="1:16" ht="18.75" hidden="1" x14ac:dyDescent="0.25">
      <c r="A180" s="136"/>
      <c r="B180" s="41"/>
      <c r="C180" s="41"/>
      <c r="D180" s="41"/>
      <c r="E180" s="279" t="s">
        <v>18</v>
      </c>
      <c r="F180" s="41"/>
      <c r="G180" s="43"/>
      <c r="H180" s="146" t="s">
        <v>12</v>
      </c>
      <c r="I180" s="144"/>
      <c r="J180" s="144"/>
      <c r="K180" s="145"/>
      <c r="L180" s="50">
        <v>0</v>
      </c>
      <c r="M180" s="50">
        <v>0</v>
      </c>
      <c r="N180" s="50">
        <v>0</v>
      </c>
      <c r="O180" s="50">
        <f>IF(L180&gt;0,N180*100/L180,0)</f>
        <v>0</v>
      </c>
      <c r="P180" s="50">
        <f>IF(M180&gt;0,N180*100/M180,0)</f>
        <v>0</v>
      </c>
    </row>
    <row r="181" spans="1:16" ht="18.75" x14ac:dyDescent="0.25">
      <c r="A181" s="136"/>
      <c r="B181" s="41"/>
      <c r="C181" s="41"/>
      <c r="D181" s="41"/>
      <c r="E181" s="254" t="s">
        <v>19</v>
      </c>
      <c r="F181" s="41"/>
      <c r="G181" s="43"/>
      <c r="H181" s="147" t="s">
        <v>12</v>
      </c>
      <c r="I181" s="144"/>
      <c r="J181" s="144"/>
      <c r="K181" s="145"/>
      <c r="L181" s="47">
        <f ca="1">IFERROR(__xludf.DUMMYFUNCTION("IMPORTRANGE(""https://docs.google.com/spreadsheets/d/1-uDff_7J0KD5mKrp0Vvzr7lt3OU09vwQwhkpOPPYv2Y/edit?usp=sharing"",""งบพรบ!CN25"")"),0)</f>
        <v>0</v>
      </c>
      <c r="M181" s="47">
        <f ca="1">IFERROR(__xludf.DUMMYFUNCTION("IMPORTRANGE(""https://docs.google.com/spreadsheets/d/1-uDff_7J0KD5mKrp0Vvzr7lt3OU09vwQwhkpOPPYv2Y/edit?usp=sharing"",""งบพรบ!CQ25"")"),0)</f>
        <v>0</v>
      </c>
      <c r="N181" s="47">
        <f ca="1">IFERROR(__xludf.DUMMYFUNCTION("IMPORTRANGE(""https://docs.google.com/spreadsheets/d/1-uDff_7J0KD5mKrp0Vvzr7lt3OU09vwQwhkpOPPYv2Y/edit?usp=sharing"",""งบพรบ!CS25"")"),0)</f>
        <v>0</v>
      </c>
      <c r="O181" s="47">
        <f ca="1">IF(L181&gt;0,N181*100/L181,0)</f>
        <v>0</v>
      </c>
      <c r="P181" s="47">
        <f ca="1">IF(M181&gt;0,N181*100/M181,0)</f>
        <v>0</v>
      </c>
    </row>
    <row r="182" spans="1:16" ht="19.5" x14ac:dyDescent="0.3">
      <c r="A182" s="148"/>
      <c r="B182" s="149"/>
      <c r="C182" s="197" t="s">
        <v>16</v>
      </c>
      <c r="D182" s="395" t="s">
        <v>36</v>
      </c>
      <c r="E182" s="151"/>
      <c r="F182" s="151"/>
      <c r="G182" s="152"/>
      <c r="H182" s="196"/>
      <c r="I182" s="45"/>
      <c r="J182" s="45"/>
      <c r="K182" s="46"/>
      <c r="L182" s="46"/>
      <c r="M182" s="46"/>
      <c r="N182" s="46"/>
      <c r="O182" s="46"/>
      <c r="P182" s="46"/>
    </row>
    <row r="183" spans="1:16" ht="18.75" x14ac:dyDescent="0.25">
      <c r="A183" s="227"/>
      <c r="B183" s="41"/>
      <c r="C183" s="228"/>
      <c r="D183" s="229" t="s">
        <v>69</v>
      </c>
      <c r="E183" s="41"/>
      <c r="F183" s="41"/>
      <c r="G183" s="43"/>
      <c r="H183" s="230" t="s">
        <v>33</v>
      </c>
      <c r="I183" s="169">
        <f ca="1">IFERROR(__xludf.DUMMYFUNCTION("IMPORTRANGE(""https://docs.google.com/spreadsheets/d/1eHaY18a8A9IcSdp1K8H6x8fbOy06t2VsZHhMHf-1x7Y/edit?usp=sharing"",""แผน!AA25"")"),7)</f>
        <v>7</v>
      </c>
      <c r="J183" s="250">
        <v>7</v>
      </c>
      <c r="K183" s="47">
        <f ca="1">IF(I183&gt;0,J183*100/I183,0)</f>
        <v>100</v>
      </c>
      <c r="L183" s="46"/>
      <c r="M183" s="46"/>
      <c r="N183" s="46"/>
      <c r="O183" s="46"/>
      <c r="P183" s="46"/>
    </row>
    <row r="184" spans="1:16" ht="18.75" hidden="1" x14ac:dyDescent="0.25">
      <c r="A184" s="227"/>
      <c r="B184" s="228"/>
      <c r="C184" s="228"/>
      <c r="D184" s="231" t="s">
        <v>70</v>
      </c>
      <c r="E184" s="41"/>
      <c r="F184" s="41"/>
      <c r="G184" s="43"/>
      <c r="H184" s="232" t="s">
        <v>33</v>
      </c>
      <c r="I184" s="200">
        <v>0</v>
      </c>
      <c r="J184" s="200">
        <v>0</v>
      </c>
      <c r="K184" s="50">
        <f>IF(I184&gt;0,J184*100/I184,0)</f>
        <v>0</v>
      </c>
      <c r="L184" s="46"/>
      <c r="M184" s="46"/>
      <c r="N184" s="46"/>
      <c r="O184" s="46"/>
      <c r="P184" s="46"/>
    </row>
    <row r="185" spans="1:16" ht="19.5" x14ac:dyDescent="0.3">
      <c r="A185" s="220"/>
      <c r="B185" s="221" t="s">
        <v>71</v>
      </c>
      <c r="C185" s="222"/>
      <c r="D185" s="151"/>
      <c r="E185" s="151"/>
      <c r="F185" s="151"/>
      <c r="G185" s="152"/>
      <c r="H185" s="223" t="s">
        <v>33</v>
      </c>
      <c r="I185" s="224">
        <f ca="1">I230+I231</f>
        <v>0</v>
      </c>
      <c r="J185" s="224">
        <f>J230+J231</f>
        <v>0</v>
      </c>
      <c r="K185" s="225">
        <f ca="1">IF(I185&gt;0,J185*100/I185,0)</f>
        <v>0</v>
      </c>
      <c r="L185" s="226"/>
      <c r="M185" s="226"/>
      <c r="N185" s="226"/>
      <c r="O185" s="226"/>
      <c r="P185" s="226"/>
    </row>
    <row r="186" spans="1:16" ht="19.5" x14ac:dyDescent="0.3">
      <c r="A186" s="136"/>
      <c r="B186" s="41"/>
      <c r="C186" s="197" t="s">
        <v>16</v>
      </c>
      <c r="D186" s="397" t="s">
        <v>17</v>
      </c>
      <c r="E186" s="41"/>
      <c r="F186" s="41"/>
      <c r="G186" s="43"/>
      <c r="H186" s="139" t="s">
        <v>12</v>
      </c>
      <c r="I186" s="45"/>
      <c r="J186" s="45"/>
      <c r="K186" s="46"/>
      <c r="L186" s="140">
        <f ca="1">L187+L188</f>
        <v>122500</v>
      </c>
      <c r="M186" s="140">
        <f ca="1">M187+M188</f>
        <v>78500</v>
      </c>
      <c r="N186" s="140">
        <f ca="1">N187+N188</f>
        <v>18760</v>
      </c>
      <c r="O186" s="140">
        <f ca="1">IF(L186&gt;0,N186*100/L186,0)</f>
        <v>15.314285714285715</v>
      </c>
      <c r="P186" s="140">
        <f ca="1">IF(M186&gt;0,N186*100/M186,0)</f>
        <v>23.898089171974522</v>
      </c>
    </row>
    <row r="187" spans="1:16" ht="18.75" hidden="1" x14ac:dyDescent="0.25">
      <c r="A187" s="136"/>
      <c r="B187" s="41"/>
      <c r="C187" s="41"/>
      <c r="D187" s="41"/>
      <c r="E187" s="279" t="s">
        <v>18</v>
      </c>
      <c r="F187" s="41"/>
      <c r="G187" s="43"/>
      <c r="H187" s="141" t="s">
        <v>12</v>
      </c>
      <c r="I187" s="45"/>
      <c r="J187" s="45"/>
      <c r="K187" s="46"/>
      <c r="L187" s="50">
        <f>L190+L193</f>
        <v>0</v>
      </c>
      <c r="M187" s="50">
        <f>M190+M193</f>
        <v>0</v>
      </c>
      <c r="N187" s="50">
        <f>N190+N193</f>
        <v>0</v>
      </c>
      <c r="O187" s="50">
        <f>IF(L187&gt;0,N187*100/L187,0)</f>
        <v>0</v>
      </c>
      <c r="P187" s="50">
        <f>IF(M187&gt;0,N187*100/M187,0)</f>
        <v>0</v>
      </c>
    </row>
    <row r="188" spans="1:16" ht="18.75" x14ac:dyDescent="0.25">
      <c r="A188" s="136"/>
      <c r="B188" s="41"/>
      <c r="C188" s="41"/>
      <c r="D188" s="41"/>
      <c r="E188" s="254" t="s">
        <v>19</v>
      </c>
      <c r="F188" s="41"/>
      <c r="G188" s="43"/>
      <c r="H188" s="142" t="s">
        <v>12</v>
      </c>
      <c r="I188" s="45"/>
      <c r="J188" s="45"/>
      <c r="K188" s="46"/>
      <c r="L188" s="47">
        <f ca="1">L191+L194</f>
        <v>122500</v>
      </c>
      <c r="M188" s="47">
        <f ca="1">M191+M194</f>
        <v>78500</v>
      </c>
      <c r="N188" s="47">
        <f ca="1">N191+N194</f>
        <v>18760</v>
      </c>
      <c r="O188" s="47">
        <f ca="1">IF(L188&gt;0,N188*100/L188,0)</f>
        <v>15.314285714285715</v>
      </c>
      <c r="P188" s="47">
        <f ca="1">IF(M188&gt;0,N188*100/M188,0)</f>
        <v>23.898089171974522</v>
      </c>
    </row>
    <row r="189" spans="1:16" ht="18.75" x14ac:dyDescent="0.25">
      <c r="A189" s="136"/>
      <c r="B189" s="41"/>
      <c r="C189" s="41"/>
      <c r="D189" s="42" t="s">
        <v>20</v>
      </c>
      <c r="E189" s="41"/>
      <c r="F189" s="41"/>
      <c r="G189" s="43"/>
      <c r="H189" s="143" t="s">
        <v>12</v>
      </c>
      <c r="I189" s="144"/>
      <c r="J189" s="144"/>
      <c r="K189" s="145"/>
      <c r="L189" s="47">
        <f ca="1">L190+L191</f>
        <v>122500</v>
      </c>
      <c r="M189" s="47">
        <f ca="1">M190+M191</f>
        <v>78500</v>
      </c>
      <c r="N189" s="47">
        <f ca="1">N190+N191</f>
        <v>18760</v>
      </c>
      <c r="O189" s="47">
        <f ca="1">IF(L189&gt;0,N189*100/L189,0)</f>
        <v>15.314285714285715</v>
      </c>
      <c r="P189" s="47">
        <f ca="1">IF(M189&gt;0,N189*100/M189,0)</f>
        <v>23.898089171974522</v>
      </c>
    </row>
    <row r="190" spans="1:16" ht="18.75" hidden="1" x14ac:dyDescent="0.25">
      <c r="A190" s="136"/>
      <c r="B190" s="41"/>
      <c r="C190" s="41"/>
      <c r="D190" s="41"/>
      <c r="E190" s="279" t="s">
        <v>34</v>
      </c>
      <c r="F190" s="41"/>
      <c r="G190" s="43"/>
      <c r="H190" s="146" t="s">
        <v>12</v>
      </c>
      <c r="I190" s="144"/>
      <c r="J190" s="144"/>
      <c r="K190" s="145"/>
      <c r="L190" s="50">
        <v>0</v>
      </c>
      <c r="M190" s="50">
        <v>0</v>
      </c>
      <c r="N190" s="50">
        <v>0</v>
      </c>
      <c r="O190" s="50">
        <f>IF(L190&gt;0,N190*100/L190,0)</f>
        <v>0</v>
      </c>
      <c r="P190" s="50">
        <f>IF(M190&gt;0,N190*100/M190,0)</f>
        <v>0</v>
      </c>
    </row>
    <row r="191" spans="1:16" ht="18.75" x14ac:dyDescent="0.25">
      <c r="A191" s="136"/>
      <c r="B191" s="41"/>
      <c r="C191" s="41"/>
      <c r="D191" s="41"/>
      <c r="E191" s="254" t="s">
        <v>35</v>
      </c>
      <c r="F191" s="41"/>
      <c r="G191" s="43"/>
      <c r="H191" s="143" t="s">
        <v>12</v>
      </c>
      <c r="I191" s="144"/>
      <c r="J191" s="144"/>
      <c r="K191" s="145"/>
      <c r="L191" s="47">
        <f ca="1">IFERROR(__xludf.DUMMYFUNCTION("IMPORTRANGE(""https://docs.google.com/spreadsheets/d/1-uDff_7J0KD5mKrp0Vvzr7lt3OU09vwQwhkpOPPYv2Y/edit?usp=sharing"",""งบพรบ!CU25"")"),122500)</f>
        <v>122500</v>
      </c>
      <c r="M191" s="47">
        <f ca="1">IFERROR(__xludf.DUMMYFUNCTION("IMPORTRANGE(""https://docs.google.com/spreadsheets/d/1-uDff_7J0KD5mKrp0Vvzr7lt3OU09vwQwhkpOPPYv2Y/edit?usp=sharing"",""งบพรบ!CZ25"")"),78500)</f>
        <v>78500</v>
      </c>
      <c r="N191" s="47">
        <f ca="1">IFERROR(__xludf.DUMMYFUNCTION("IMPORTRANGE(""https://docs.google.com/spreadsheets/d/1-uDff_7J0KD5mKrp0Vvzr7lt3OU09vwQwhkpOPPYv2Y/edit?usp=sharing"",""งบพรบ!DB25"")"),18760)</f>
        <v>18760</v>
      </c>
      <c r="O191" s="47">
        <f ca="1">IF(L191&gt;0,N191*100/L191,0)</f>
        <v>15.314285714285715</v>
      </c>
      <c r="P191" s="47">
        <f ca="1">IF(M191&gt;0,N191*100/M191,0)</f>
        <v>23.898089171974522</v>
      </c>
    </row>
    <row r="192" spans="1:16" ht="18.75" x14ac:dyDescent="0.25">
      <c r="A192" s="136"/>
      <c r="B192" s="41"/>
      <c r="C192" s="41"/>
      <c r="D192" s="42" t="s">
        <v>21</v>
      </c>
      <c r="E192" s="41"/>
      <c r="F192" s="41"/>
      <c r="G192" s="43"/>
      <c r="H192" s="147" t="s">
        <v>12</v>
      </c>
      <c r="I192" s="144"/>
      <c r="J192" s="144"/>
      <c r="K192" s="145"/>
      <c r="L192" s="47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</row>
    <row r="193" spans="1:16" ht="18.75" hidden="1" x14ac:dyDescent="0.25">
      <c r="A193" s="136"/>
      <c r="B193" s="41"/>
      <c r="C193" s="41"/>
      <c r="D193" s="41"/>
      <c r="E193" s="279" t="s">
        <v>18</v>
      </c>
      <c r="F193" s="41"/>
      <c r="G193" s="43"/>
      <c r="H193" s="146" t="s">
        <v>12</v>
      </c>
      <c r="I193" s="144"/>
      <c r="J193" s="144"/>
      <c r="K193" s="145"/>
      <c r="L193" s="50">
        <v>0</v>
      </c>
      <c r="M193" s="50">
        <v>0</v>
      </c>
      <c r="N193" s="50">
        <v>0</v>
      </c>
      <c r="O193" s="50">
        <f>IF(L193&gt;0,N193*100/L193,0)</f>
        <v>0</v>
      </c>
      <c r="P193" s="50">
        <f>IF(M193&gt;0,N193*100/M193,0)</f>
        <v>0</v>
      </c>
    </row>
    <row r="194" spans="1:16" ht="18.75" x14ac:dyDescent="0.25">
      <c r="A194" s="136"/>
      <c r="B194" s="41"/>
      <c r="C194" s="41"/>
      <c r="D194" s="41"/>
      <c r="E194" s="254" t="s">
        <v>19</v>
      </c>
      <c r="F194" s="41"/>
      <c r="G194" s="43"/>
      <c r="H194" s="147" t="s">
        <v>12</v>
      </c>
      <c r="I194" s="144"/>
      <c r="J194" s="144"/>
      <c r="K194" s="145"/>
      <c r="L194" s="47">
        <f ca="1">IFERROR(__xludf.DUMMYFUNCTION("IMPORTRANGE(""https://docs.google.com/spreadsheets/d/1-uDff_7J0KD5mKrp0Vvzr7lt3OU09vwQwhkpOPPYv2Y/edit?usp=sharing"",""งบพรบ!CX25"")"),0)</f>
        <v>0</v>
      </c>
      <c r="M194" s="47">
        <f ca="1">IFERROR(__xludf.DUMMYFUNCTION("IMPORTRANGE(""https://docs.google.com/spreadsheets/d/1-uDff_7J0KD5mKrp0Vvzr7lt3OU09vwQwhkpOPPYv2Y/edit?usp=sharing"",""งบพรบ!DA25"")"),0)</f>
        <v>0</v>
      </c>
      <c r="N194" s="47">
        <f ca="1">IFERROR(__xludf.DUMMYFUNCTION("IMPORTRANGE(""https://docs.google.com/spreadsheets/d/1-uDff_7J0KD5mKrp0Vvzr7lt3OU09vwQwhkpOPPYv2Y/edit?usp=sharing"",""งบพรบ!DC25"")"),0)</f>
        <v>0</v>
      </c>
      <c r="O194" s="47">
        <f ca="1">IF(L194&gt;0,N194*100/L194,0)</f>
        <v>0</v>
      </c>
      <c r="P194" s="47">
        <f ca="1">IF(M194&gt;0,N194*100/M194,0)</f>
        <v>0</v>
      </c>
    </row>
    <row r="195" spans="1:16" ht="19.5" x14ac:dyDescent="0.3">
      <c r="A195" s="233"/>
      <c r="B195" s="234"/>
      <c r="C195" s="235" t="s">
        <v>72</v>
      </c>
      <c r="D195" s="236"/>
      <c r="E195" s="236"/>
      <c r="F195" s="236"/>
      <c r="G195" s="237"/>
      <c r="H195" s="238" t="s">
        <v>73</v>
      </c>
      <c r="I195" s="239">
        <f ca="1">I198</f>
        <v>4</v>
      </c>
      <c r="J195" s="239">
        <f>J198</f>
        <v>0</v>
      </c>
      <c r="K195" s="240">
        <f ca="1">IF(I195&gt;0,J195*100/I195,0)</f>
        <v>0</v>
      </c>
      <c r="L195" s="241"/>
      <c r="M195" s="241"/>
      <c r="N195" s="241"/>
      <c r="O195" s="241"/>
      <c r="P195" s="241"/>
    </row>
    <row r="196" spans="1:16" ht="19.5" x14ac:dyDescent="0.3">
      <c r="A196" s="136"/>
      <c r="B196" s="41"/>
      <c r="C196" s="197" t="s">
        <v>16</v>
      </c>
      <c r="D196" s="400" t="s">
        <v>17</v>
      </c>
      <c r="E196" s="41"/>
      <c r="F196" s="41"/>
      <c r="G196" s="43"/>
      <c r="H196" s="243" t="s">
        <v>12</v>
      </c>
      <c r="I196" s="45"/>
      <c r="J196" s="45"/>
      <c r="K196" s="46"/>
      <c r="L196" s="140">
        <f ca="1">IFERROR(__xludf.DUMMYFUNCTION("IMPORTRANGE(""https://docs.google.com/spreadsheets/d/1eHaY18a8A9IcSdp1K8H6x8fbOy06t2VsZHhMHf-1x7Y/edit?usp=sharing"",""แผน!AB25"")"),6000)</f>
        <v>6000</v>
      </c>
      <c r="M196" s="46"/>
      <c r="N196" s="244">
        <v>0</v>
      </c>
      <c r="O196" s="140">
        <f ca="1">IF(L196&gt;0,N196*100/L196,0)</f>
        <v>0</v>
      </c>
      <c r="P196" s="140">
        <f>IF(M196&gt;0,N196*100/M196,0)</f>
        <v>0</v>
      </c>
    </row>
    <row r="197" spans="1:16" ht="19.5" x14ac:dyDescent="0.3">
      <c r="A197" s="148"/>
      <c r="B197" s="149"/>
      <c r="C197" s="197" t="s">
        <v>16</v>
      </c>
      <c r="D197" s="395" t="s">
        <v>36</v>
      </c>
      <c r="E197" s="151"/>
      <c r="F197" s="151"/>
      <c r="G197" s="152"/>
      <c r="H197" s="153"/>
      <c r="I197" s="45"/>
      <c r="J197" s="45"/>
      <c r="K197" s="46"/>
      <c r="L197" s="46"/>
      <c r="M197" s="46"/>
      <c r="N197" s="46"/>
      <c r="O197" s="46"/>
      <c r="P197" s="46"/>
    </row>
    <row r="198" spans="1:16" ht="18.75" x14ac:dyDescent="0.25">
      <c r="A198" s="148"/>
      <c r="B198" s="149"/>
      <c r="C198" s="149"/>
      <c r="D198" s="159" t="s">
        <v>74</v>
      </c>
      <c r="E198" s="155"/>
      <c r="F198" s="155"/>
      <c r="G198" s="153"/>
      <c r="H198" s="251" t="s">
        <v>73</v>
      </c>
      <c r="I198" s="169">
        <f ca="1">IFERROR(__xludf.DUMMYFUNCTION("IMPORTRANGE(""https://docs.google.com/spreadsheets/d/1eHaY18a8A9IcSdp1K8H6x8fbOy06t2VsZHhMHf-1x7Y/edit?usp=sharing"",""แผน!AE25"")"),4)</f>
        <v>4</v>
      </c>
      <c r="J198" s="250">
        <v>0</v>
      </c>
      <c r="K198" s="47">
        <f ca="1">IF(I198&gt;0,J198*100/I198,0)</f>
        <v>0</v>
      </c>
      <c r="L198" s="46"/>
      <c r="M198" s="46"/>
      <c r="N198" s="46"/>
      <c r="O198" s="46"/>
      <c r="P198" s="46"/>
    </row>
    <row r="199" spans="1:16" ht="18.75" x14ac:dyDescent="0.25">
      <c r="A199" s="148"/>
      <c r="B199" s="149"/>
      <c r="C199" s="149"/>
      <c r="D199" s="159" t="s">
        <v>75</v>
      </c>
      <c r="E199" s="155"/>
      <c r="F199" s="155"/>
      <c r="G199" s="153"/>
      <c r="H199" s="230" t="s">
        <v>33</v>
      </c>
      <c r="I199" s="45"/>
      <c r="J199" s="169">
        <f>J200+J201</f>
        <v>0</v>
      </c>
      <c r="K199" s="46"/>
      <c r="L199" s="46"/>
      <c r="M199" s="46"/>
      <c r="N199" s="46"/>
      <c r="O199" s="46"/>
      <c r="P199" s="46"/>
    </row>
    <row r="200" spans="1:16" ht="18.75" x14ac:dyDescent="0.25">
      <c r="A200" s="148"/>
      <c r="B200" s="149"/>
      <c r="C200" s="149"/>
      <c r="D200" s="149"/>
      <c r="E200" s="159" t="s">
        <v>76</v>
      </c>
      <c r="F200" s="155"/>
      <c r="G200" s="153"/>
      <c r="H200" s="230" t="s">
        <v>33</v>
      </c>
      <c r="I200" s="45"/>
      <c r="J200" s="250">
        <v>0</v>
      </c>
      <c r="K200" s="46"/>
      <c r="L200" s="46"/>
      <c r="M200" s="46"/>
      <c r="N200" s="46"/>
      <c r="O200" s="46"/>
      <c r="P200" s="46"/>
    </row>
    <row r="201" spans="1:16" ht="18.75" x14ac:dyDescent="0.25">
      <c r="A201" s="148"/>
      <c r="B201" s="149"/>
      <c r="C201" s="149"/>
      <c r="D201" s="149"/>
      <c r="E201" s="159" t="s">
        <v>77</v>
      </c>
      <c r="F201" s="155"/>
      <c r="G201" s="153"/>
      <c r="H201" s="230" t="s">
        <v>33</v>
      </c>
      <c r="I201" s="45"/>
      <c r="J201" s="250">
        <v>0</v>
      </c>
      <c r="K201" s="46"/>
      <c r="L201" s="46"/>
      <c r="M201" s="46"/>
      <c r="N201" s="46"/>
      <c r="O201" s="46"/>
      <c r="P201" s="46"/>
    </row>
    <row r="202" spans="1:16" ht="19.5" x14ac:dyDescent="0.3">
      <c r="A202" s="233"/>
      <c r="B202" s="234"/>
      <c r="C202" s="235" t="s">
        <v>78</v>
      </c>
      <c r="D202" s="236"/>
      <c r="E202" s="236"/>
      <c r="F202" s="236"/>
      <c r="G202" s="237"/>
      <c r="H202" s="245" t="s">
        <v>79</v>
      </c>
      <c r="I202" s="239">
        <f ca="1">I209</f>
        <v>1</v>
      </c>
      <c r="J202" s="239">
        <f>J209</f>
        <v>0</v>
      </c>
      <c r="K202" s="240">
        <f ca="1">IF(I202&gt;0,J202*100/I202,0)</f>
        <v>0</v>
      </c>
      <c r="L202" s="241"/>
      <c r="M202" s="241"/>
      <c r="N202" s="241"/>
      <c r="O202" s="241"/>
      <c r="P202" s="241"/>
    </row>
    <row r="203" spans="1:16" ht="19.5" x14ac:dyDescent="0.3">
      <c r="A203" s="136"/>
      <c r="B203" s="41"/>
      <c r="C203" s="197" t="s">
        <v>16</v>
      </c>
      <c r="D203" s="400" t="s">
        <v>17</v>
      </c>
      <c r="E203" s="41"/>
      <c r="F203" s="41"/>
      <c r="G203" s="43"/>
      <c r="H203" s="243" t="s">
        <v>12</v>
      </c>
      <c r="I203" s="144"/>
      <c r="J203" s="144"/>
      <c r="K203" s="145"/>
      <c r="L203" s="140">
        <f ca="1">L204+L205+L206+L207</f>
        <v>13000</v>
      </c>
      <c r="M203" s="46"/>
      <c r="N203" s="140">
        <f>N204+N205+N206+N207</f>
        <v>7000</v>
      </c>
      <c r="O203" s="140">
        <f ca="1">IF(L203&gt;0,N203*100/L203,0)</f>
        <v>53.846153846153847</v>
      </c>
      <c r="P203" s="140">
        <f>IF(M203&gt;0,N203*100/M203,0)</f>
        <v>0</v>
      </c>
    </row>
    <row r="204" spans="1:16" ht="18.75" x14ac:dyDescent="0.25">
      <c r="A204" s="136"/>
      <c r="B204" s="228"/>
      <c r="C204" s="41"/>
      <c r="D204" s="253" t="s">
        <v>153</v>
      </c>
      <c r="E204" s="41"/>
      <c r="F204" s="41"/>
      <c r="G204" s="43"/>
      <c r="H204" s="143" t="s">
        <v>12</v>
      </c>
      <c r="I204" s="144"/>
      <c r="J204" s="144"/>
      <c r="K204" s="145"/>
      <c r="L204" s="47">
        <f ca="1">IFERROR(__xludf.DUMMYFUNCTION("IMPORTRANGE(""https://docs.google.com/spreadsheets/d/1eHaY18a8A9IcSdp1K8H6x8fbOy06t2VsZHhMHf-1x7Y/edit?usp=sharing"",""แผน!AG25"")"),1000)</f>
        <v>1000</v>
      </c>
      <c r="M204" s="46"/>
      <c r="N204" s="248">
        <v>740</v>
      </c>
      <c r="O204" s="145"/>
      <c r="P204" s="46"/>
    </row>
    <row r="205" spans="1:16" ht="18.75" x14ac:dyDescent="0.25">
      <c r="A205" s="227"/>
      <c r="B205" s="228"/>
      <c r="C205" s="41"/>
      <c r="D205" s="254" t="s">
        <v>81</v>
      </c>
      <c r="E205" s="41"/>
      <c r="F205" s="41"/>
      <c r="G205" s="43"/>
      <c r="H205" s="44" t="s">
        <v>12</v>
      </c>
      <c r="I205" s="45"/>
      <c r="J205" s="45"/>
      <c r="K205" s="46"/>
      <c r="L205" s="47">
        <f ca="1">IFERROR(__xludf.DUMMYFUNCTION("IMPORTRANGE(""https://docs.google.com/spreadsheets/d/1eHaY18a8A9IcSdp1K8H6x8fbOy06t2VsZHhMHf-1x7Y/edit?usp=sharing"",""แผน!AH25"")"),0)</f>
        <v>0</v>
      </c>
      <c r="M205" s="46"/>
      <c r="N205" s="248">
        <v>0</v>
      </c>
      <c r="O205" s="145"/>
      <c r="P205" s="46"/>
    </row>
    <row r="206" spans="1:16" ht="18.75" x14ac:dyDescent="0.25">
      <c r="A206" s="227"/>
      <c r="B206" s="228"/>
      <c r="C206" s="41"/>
      <c r="D206" s="254" t="s">
        <v>82</v>
      </c>
      <c r="E206" s="41"/>
      <c r="F206" s="41"/>
      <c r="G206" s="43"/>
      <c r="H206" s="44" t="s">
        <v>12</v>
      </c>
      <c r="I206" s="45"/>
      <c r="J206" s="45"/>
      <c r="K206" s="46"/>
      <c r="L206" s="47">
        <f ca="1">IFERROR(__xludf.DUMMYFUNCTION("IMPORTRANGE(""https://docs.google.com/spreadsheets/d/1eHaY18a8A9IcSdp1K8H6x8fbOy06t2VsZHhMHf-1x7Y/edit?usp=sharing"",""แผน!AI25"")"),8000)</f>
        <v>8000</v>
      </c>
      <c r="M206" s="46"/>
      <c r="N206" s="248">
        <v>6260</v>
      </c>
      <c r="O206" s="145"/>
      <c r="P206" s="46"/>
    </row>
    <row r="207" spans="1:16" ht="18.75" x14ac:dyDescent="0.25">
      <c r="A207" s="227"/>
      <c r="B207" s="228"/>
      <c r="C207" s="41"/>
      <c r="D207" s="254" t="s">
        <v>83</v>
      </c>
      <c r="E207" s="41"/>
      <c r="F207" s="41"/>
      <c r="G207" s="43"/>
      <c r="H207" s="44" t="s">
        <v>12</v>
      </c>
      <c r="I207" s="45"/>
      <c r="J207" s="45"/>
      <c r="K207" s="46"/>
      <c r="L207" s="47">
        <f ca="1">IFERROR(__xludf.DUMMYFUNCTION("IMPORTRANGE(""https://docs.google.com/spreadsheets/d/1eHaY18a8A9IcSdp1K8H6x8fbOy06t2VsZHhMHf-1x7Y/edit?usp=sharing"",""แผน!AJ25"")"),4000)</f>
        <v>4000</v>
      </c>
      <c r="M207" s="46"/>
      <c r="N207" s="248">
        <v>0</v>
      </c>
      <c r="O207" s="145"/>
      <c r="P207" s="46"/>
    </row>
    <row r="208" spans="1:16" ht="19.5" x14ac:dyDescent="0.3">
      <c r="A208" s="148"/>
      <c r="B208" s="149"/>
      <c r="C208" s="197" t="s">
        <v>16</v>
      </c>
      <c r="D208" s="395" t="s">
        <v>36</v>
      </c>
      <c r="E208" s="151"/>
      <c r="F208" s="151"/>
      <c r="G208" s="152"/>
      <c r="H208" s="153"/>
      <c r="I208" s="144"/>
      <c r="J208" s="144"/>
      <c r="K208" s="145"/>
      <c r="L208" s="145"/>
      <c r="M208" s="145"/>
      <c r="N208" s="145"/>
      <c r="O208" s="145"/>
      <c r="P208" s="145"/>
    </row>
    <row r="209" spans="1:16" ht="18.75" x14ac:dyDescent="0.25">
      <c r="A209" s="148"/>
      <c r="B209" s="149"/>
      <c r="C209" s="149"/>
      <c r="D209" s="154" t="s">
        <v>84</v>
      </c>
      <c r="E209" s="155"/>
      <c r="F209" s="155"/>
      <c r="G209" s="153"/>
      <c r="H209" s="249" t="s">
        <v>79</v>
      </c>
      <c r="I209" s="169">
        <f ca="1">IFERROR(__xludf.DUMMYFUNCTION("IMPORTRANGE(""https://docs.google.com/spreadsheets/d/1eHaY18a8A9IcSdp1K8H6x8fbOy06t2VsZHhMHf-1x7Y/edit?usp=sharing"",""แผน!AK25"")"),1)</f>
        <v>1</v>
      </c>
      <c r="J209" s="250">
        <v>0</v>
      </c>
      <c r="K209" s="163">
        <f ca="1">IF(I209&gt;0,J209*100/I209,0)</f>
        <v>0</v>
      </c>
      <c r="L209" s="46"/>
      <c r="M209" s="46"/>
      <c r="N209" s="46"/>
      <c r="O209" s="46"/>
      <c r="P209" s="46"/>
    </row>
    <row r="210" spans="1:16" ht="18.75" x14ac:dyDescent="0.25">
      <c r="A210" s="148"/>
      <c r="B210" s="149"/>
      <c r="C210" s="149"/>
      <c r="D210" s="159" t="s">
        <v>48</v>
      </c>
      <c r="E210" s="155"/>
      <c r="F210" s="155"/>
      <c r="G210" s="153"/>
      <c r="H210" s="153"/>
      <c r="I210" s="45"/>
      <c r="J210" s="45"/>
      <c r="K210" s="145"/>
      <c r="L210" s="46"/>
      <c r="M210" s="46"/>
      <c r="N210" s="46"/>
      <c r="O210" s="46"/>
      <c r="P210" s="46"/>
    </row>
    <row r="211" spans="1:16" ht="18.75" x14ac:dyDescent="0.25">
      <c r="A211" s="148"/>
      <c r="B211" s="149"/>
      <c r="C211" s="149"/>
      <c r="D211" s="155"/>
      <c r="E211" s="159" t="s">
        <v>85</v>
      </c>
      <c r="F211" s="155"/>
      <c r="G211" s="153"/>
      <c r="H211" s="249" t="s">
        <v>79</v>
      </c>
      <c r="I211" s="169">
        <f ca="1">IFERROR(__xludf.DUMMYFUNCTION("IMPORTRANGE(""https://docs.google.com/spreadsheets/d/1eHaY18a8A9IcSdp1K8H6x8fbOy06t2VsZHhMHf-1x7Y/edit?usp=sharing"",""แผน!AK25"")"),1)</f>
        <v>1</v>
      </c>
      <c r="J211" s="250">
        <v>0</v>
      </c>
      <c r="K211" s="163">
        <f ca="1">IF(I211&gt;0,J211*100/I211,0)</f>
        <v>0</v>
      </c>
      <c r="L211" s="46"/>
      <c r="M211" s="46"/>
      <c r="N211" s="46"/>
      <c r="O211" s="46"/>
      <c r="P211" s="46"/>
    </row>
    <row r="212" spans="1:16" ht="18.75" x14ac:dyDescent="0.25">
      <c r="A212" s="148"/>
      <c r="B212" s="149"/>
      <c r="C212" s="149"/>
      <c r="D212" s="155"/>
      <c r="E212" s="159" t="s">
        <v>86</v>
      </c>
      <c r="F212" s="155"/>
      <c r="G212" s="155"/>
      <c r="H212" s="251" t="s">
        <v>87</v>
      </c>
      <c r="I212" s="169">
        <f ca="1">IFERROR(__xludf.DUMMYFUNCTION("IMPORTRANGE(""https://docs.google.com/spreadsheets/d/1eHaY18a8A9IcSdp1K8H6x8fbOy06t2VsZHhMHf-1x7Y/edit?usp=sharing"",""แผน!AK25"")"),1)</f>
        <v>1</v>
      </c>
      <c r="J212" s="250">
        <v>0</v>
      </c>
      <c r="K212" s="163">
        <f ca="1">IF(I212&gt;0,J212*100/I212,0)</f>
        <v>0</v>
      </c>
      <c r="L212" s="46"/>
      <c r="M212" s="46"/>
      <c r="N212" s="46"/>
      <c r="O212" s="46"/>
      <c r="P212" s="46"/>
    </row>
    <row r="213" spans="1:16" ht="19.5" hidden="1" x14ac:dyDescent="0.3">
      <c r="A213" s="233"/>
      <c r="B213" s="234"/>
      <c r="C213" s="235" t="s">
        <v>88</v>
      </c>
      <c r="D213" s="236"/>
      <c r="E213" s="236"/>
      <c r="F213" s="236"/>
      <c r="G213" s="237"/>
      <c r="H213" s="245" t="s">
        <v>79</v>
      </c>
      <c r="I213" s="239">
        <f ca="1">I220</f>
        <v>0</v>
      </c>
      <c r="J213" s="239">
        <f>J220</f>
        <v>0</v>
      </c>
      <c r="K213" s="240">
        <f ca="1">IF(I213&gt;0,J213*100/I213,0)</f>
        <v>0</v>
      </c>
      <c r="L213" s="241"/>
      <c r="M213" s="241"/>
      <c r="N213" s="241"/>
      <c r="O213" s="241"/>
      <c r="P213" s="241"/>
    </row>
    <row r="214" spans="1:16" ht="19.5" hidden="1" x14ac:dyDescent="0.3">
      <c r="A214" s="136"/>
      <c r="B214" s="41"/>
      <c r="C214" s="197" t="s">
        <v>16</v>
      </c>
      <c r="D214" s="400" t="s">
        <v>17</v>
      </c>
      <c r="E214" s="41"/>
      <c r="F214" s="41"/>
      <c r="G214" s="43"/>
      <c r="H214" s="243" t="s">
        <v>12</v>
      </c>
      <c r="I214" s="144"/>
      <c r="J214" s="144"/>
      <c r="K214" s="145"/>
      <c r="L214" s="140">
        <f ca="1">L215+L216+L217</f>
        <v>0</v>
      </c>
      <c r="M214" s="46"/>
      <c r="N214" s="140">
        <f>N215+N216+N217</f>
        <v>0</v>
      </c>
      <c r="O214" s="140">
        <f ca="1">IF(L214&gt;0,N214*100/L214,0)</f>
        <v>0</v>
      </c>
      <c r="P214" s="140">
        <f>IF(M214&gt;0,N214*100/M214,0)</f>
        <v>0</v>
      </c>
    </row>
    <row r="215" spans="1:16" ht="18.75" hidden="1" x14ac:dyDescent="0.25">
      <c r="A215" s="136"/>
      <c r="B215" s="228"/>
      <c r="C215" s="41"/>
      <c r="D215" s="254" t="s">
        <v>80</v>
      </c>
      <c r="E215" s="41"/>
      <c r="F215" s="41"/>
      <c r="G215" s="43"/>
      <c r="H215" s="143" t="s">
        <v>12</v>
      </c>
      <c r="I215" s="144"/>
      <c r="J215" s="144"/>
      <c r="K215" s="145"/>
      <c r="L215" s="47">
        <f ca="1">IFERROR(__xludf.DUMMYFUNCTION("IMPORTRANGE(""https://docs.google.com/spreadsheets/d/1eHaY18a8A9IcSdp1K8H6x8fbOy06t2VsZHhMHf-1x7Y/edit?usp=sharing"",""แผน!AM25"")"),0)</f>
        <v>0</v>
      </c>
      <c r="M215" s="46"/>
      <c r="N215" s="248">
        <v>0</v>
      </c>
      <c r="O215" s="145"/>
      <c r="P215" s="46"/>
    </row>
    <row r="216" spans="1:16" ht="18.75" hidden="1" x14ac:dyDescent="0.25">
      <c r="A216" s="227"/>
      <c r="B216" s="228"/>
      <c r="C216" s="228"/>
      <c r="D216" s="254" t="s">
        <v>89</v>
      </c>
      <c r="E216" s="41"/>
      <c r="F216" s="41"/>
      <c r="G216" s="43"/>
      <c r="H216" s="143" t="s">
        <v>12</v>
      </c>
      <c r="I216" s="45"/>
      <c r="J216" s="45"/>
      <c r="K216" s="46"/>
      <c r="L216" s="47">
        <f ca="1">IFERROR(__xludf.DUMMYFUNCTION("IMPORTRANGE(""https://docs.google.com/spreadsheets/d/1eHaY18a8A9IcSdp1K8H6x8fbOy06t2VsZHhMHf-1x7Y/edit?usp=sharing"",""แผน!AN25"")"),0)</f>
        <v>0</v>
      </c>
      <c r="M216" s="46"/>
      <c r="N216" s="248">
        <v>0</v>
      </c>
      <c r="O216" s="145"/>
      <c r="P216" s="46"/>
    </row>
    <row r="217" spans="1:16" ht="18.75" hidden="1" x14ac:dyDescent="0.25">
      <c r="A217" s="227"/>
      <c r="B217" s="228"/>
      <c r="C217" s="228"/>
      <c r="D217" s="254" t="s">
        <v>82</v>
      </c>
      <c r="E217" s="41"/>
      <c r="F217" s="41"/>
      <c r="G217" s="43"/>
      <c r="H217" s="143" t="s">
        <v>12</v>
      </c>
      <c r="I217" s="45"/>
      <c r="J217" s="45"/>
      <c r="K217" s="46"/>
      <c r="L217" s="47">
        <f ca="1">IFERROR(__xludf.DUMMYFUNCTION("IMPORTRANGE(""https://docs.google.com/spreadsheets/d/1eHaY18a8A9IcSdp1K8H6x8fbOy06t2VsZHhMHf-1x7Y/edit?usp=sharing"",""แผน!AO25"")"),0)</f>
        <v>0</v>
      </c>
      <c r="M217" s="46"/>
      <c r="N217" s="248">
        <v>0</v>
      </c>
      <c r="O217" s="145"/>
      <c r="P217" s="46"/>
    </row>
    <row r="218" spans="1:16" ht="19.5" hidden="1" x14ac:dyDescent="0.3">
      <c r="A218" s="148"/>
      <c r="B218" s="149"/>
      <c r="C218" s="252" t="s">
        <v>16</v>
      </c>
      <c r="D218" s="395" t="s">
        <v>36</v>
      </c>
      <c r="E218" s="151"/>
      <c r="F218" s="151"/>
      <c r="G218" s="152"/>
      <c r="H218" s="153"/>
      <c r="I218" s="144"/>
      <c r="J218" s="45"/>
      <c r="K218" s="46"/>
      <c r="L218" s="46"/>
      <c r="M218" s="46"/>
      <c r="N218" s="46"/>
      <c r="O218" s="145"/>
      <c r="P218" s="145"/>
    </row>
    <row r="219" spans="1:16" ht="18.75" hidden="1" x14ac:dyDescent="0.25">
      <c r="A219" s="148"/>
      <c r="B219" s="149"/>
      <c r="C219" s="149"/>
      <c r="D219" s="154" t="s">
        <v>90</v>
      </c>
      <c r="E219" s="155"/>
      <c r="F219" s="155"/>
      <c r="G219" s="153"/>
      <c r="H219" s="249" t="s">
        <v>79</v>
      </c>
      <c r="I219" s="169">
        <f ca="1">IFERROR(__xludf.DUMMYFUNCTION("IMPORTRANGE(""https://docs.google.com/spreadsheets/d/1eHaY18a8A9IcSdp1K8H6x8fbOy06t2VsZHhMHf-1x7Y/edit?usp=sharing"",""แผน!AP25"")"),0)</f>
        <v>0</v>
      </c>
      <c r="J219" s="250">
        <v>0</v>
      </c>
      <c r="K219" s="47">
        <f ca="1">IF(I219&gt;0,J219*100/I219,0)</f>
        <v>0</v>
      </c>
      <c r="L219" s="46"/>
      <c r="M219" s="46"/>
      <c r="N219" s="46"/>
      <c r="O219" s="46"/>
      <c r="P219" s="46"/>
    </row>
    <row r="220" spans="1:16" ht="18.75" hidden="1" x14ac:dyDescent="0.25">
      <c r="A220" s="148"/>
      <c r="B220" s="149"/>
      <c r="C220" s="149"/>
      <c r="D220" s="154" t="s">
        <v>91</v>
      </c>
      <c r="E220" s="155"/>
      <c r="F220" s="155"/>
      <c r="G220" s="153"/>
      <c r="H220" s="249" t="s">
        <v>79</v>
      </c>
      <c r="I220" s="169">
        <f ca="1">IFERROR(__xludf.DUMMYFUNCTION("IMPORTRANGE(""https://docs.google.com/spreadsheets/d/1eHaY18a8A9IcSdp1K8H6x8fbOy06t2VsZHhMHf-1x7Y/edit?usp=sharing"",""แผน!AP25"")"),0)</f>
        <v>0</v>
      </c>
      <c r="J220" s="250">
        <v>0</v>
      </c>
      <c r="K220" s="47">
        <f ca="1">IF(I220&gt;0,J220*100/I220,0)</f>
        <v>0</v>
      </c>
      <c r="L220" s="46"/>
      <c r="M220" s="46"/>
      <c r="N220" s="46"/>
      <c r="O220" s="46"/>
      <c r="P220" s="46"/>
    </row>
    <row r="221" spans="1:16" ht="19.5" x14ac:dyDescent="0.3">
      <c r="A221" s="233"/>
      <c r="B221" s="234"/>
      <c r="C221" s="235" t="s">
        <v>92</v>
      </c>
      <c r="D221" s="236"/>
      <c r="E221" s="236"/>
      <c r="F221" s="236"/>
      <c r="G221" s="237"/>
      <c r="H221" s="238" t="s">
        <v>93</v>
      </c>
      <c r="I221" s="239">
        <f ca="1">I229</f>
        <v>100000</v>
      </c>
      <c r="J221" s="239">
        <f>J229</f>
        <v>0</v>
      </c>
      <c r="K221" s="240">
        <f ca="1">IF(I221&gt;0,J221*100/I221,0)</f>
        <v>0</v>
      </c>
      <c r="L221" s="241"/>
      <c r="M221" s="241"/>
      <c r="N221" s="241"/>
      <c r="O221" s="241"/>
      <c r="P221" s="241"/>
    </row>
    <row r="222" spans="1:16" ht="19.5" x14ac:dyDescent="0.3">
      <c r="A222" s="136"/>
      <c r="B222" s="41"/>
      <c r="C222" s="197" t="s">
        <v>16</v>
      </c>
      <c r="D222" s="400" t="s">
        <v>17</v>
      </c>
      <c r="E222" s="41"/>
      <c r="F222" s="41"/>
      <c r="G222" s="43"/>
      <c r="H222" s="243" t="s">
        <v>12</v>
      </c>
      <c r="I222" s="144"/>
      <c r="J222" s="144"/>
      <c r="K222" s="145"/>
      <c r="L222" s="140">
        <f ca="1">L223+L224+L225</f>
        <v>12500</v>
      </c>
      <c r="M222" s="46"/>
      <c r="N222" s="140">
        <f>N223+N224+N225</f>
        <v>0</v>
      </c>
      <c r="O222" s="140">
        <f ca="1">IF(L222&gt;0,N222*100/L222,0)</f>
        <v>0</v>
      </c>
      <c r="P222" s="140">
        <f>IF(M222&gt;0,N222*100/M222,0)</f>
        <v>0</v>
      </c>
    </row>
    <row r="223" spans="1:16" ht="18.75" x14ac:dyDescent="0.25">
      <c r="A223" s="136"/>
      <c r="B223" s="228"/>
      <c r="C223" s="41"/>
      <c r="D223" s="253" t="s">
        <v>94</v>
      </c>
      <c r="E223" s="41"/>
      <c r="F223" s="41"/>
      <c r="G223" s="43"/>
      <c r="H223" s="143" t="s">
        <v>12</v>
      </c>
      <c r="I223" s="144"/>
      <c r="J223" s="144"/>
      <c r="K223" s="145"/>
      <c r="L223" s="47">
        <f ca="1">IFERROR(__xludf.DUMMYFUNCTION("IMPORTRANGE(""https://docs.google.com/spreadsheets/d/1eHaY18a8A9IcSdp1K8H6x8fbOy06t2VsZHhMHf-1x7Y/edit?usp=sharing"",""แผน!AR25"")"),11000)</f>
        <v>11000</v>
      </c>
      <c r="M223" s="46"/>
      <c r="N223" s="248">
        <v>0</v>
      </c>
      <c r="O223" s="145"/>
      <c r="P223" s="46"/>
    </row>
    <row r="224" spans="1:16" ht="18.75" x14ac:dyDescent="0.25">
      <c r="A224" s="227"/>
      <c r="B224" s="228"/>
      <c r="C224" s="228"/>
      <c r="D224" s="254" t="s">
        <v>95</v>
      </c>
      <c r="E224" s="41"/>
      <c r="F224" s="41"/>
      <c r="G224" s="43"/>
      <c r="H224" s="143" t="s">
        <v>12</v>
      </c>
      <c r="I224" s="45"/>
      <c r="J224" s="45"/>
      <c r="K224" s="46"/>
      <c r="L224" s="47">
        <f ca="1">IFERROR(__xludf.DUMMYFUNCTION("IMPORTRANGE(""https://docs.google.com/spreadsheets/d/1eHaY18a8A9IcSdp1K8H6x8fbOy06t2VsZHhMHf-1x7Y/edit?usp=sharing"",""แผน!AS25"")"),1500)</f>
        <v>1500</v>
      </c>
      <c r="M224" s="46"/>
      <c r="N224" s="248">
        <v>0</v>
      </c>
      <c r="O224" s="145"/>
      <c r="P224" s="46"/>
    </row>
    <row r="225" spans="1:16" ht="18.75" x14ac:dyDescent="0.25">
      <c r="A225" s="227"/>
      <c r="B225" s="228"/>
      <c r="C225" s="228"/>
      <c r="D225" s="254" t="s">
        <v>82</v>
      </c>
      <c r="E225" s="41"/>
      <c r="F225" s="41"/>
      <c r="G225" s="43"/>
      <c r="H225" s="143" t="s">
        <v>12</v>
      </c>
      <c r="I225" s="45"/>
      <c r="J225" s="45"/>
      <c r="K225" s="46"/>
      <c r="L225" s="47">
        <f ca="1">IFERROR(__xludf.DUMMYFUNCTION("IMPORTRANGE(""https://docs.google.com/spreadsheets/d/1eHaY18a8A9IcSdp1K8H6x8fbOy06t2VsZHhMHf-1x7Y/edit?usp=sharing"",""แผน!AT25"")"),0)</f>
        <v>0</v>
      </c>
      <c r="M225" s="46"/>
      <c r="N225" s="248">
        <v>0</v>
      </c>
      <c r="O225" s="145"/>
      <c r="P225" s="46"/>
    </row>
    <row r="226" spans="1:16" ht="19.5" x14ac:dyDescent="0.3">
      <c r="A226" s="148"/>
      <c r="B226" s="149"/>
      <c r="C226" s="252" t="s">
        <v>16</v>
      </c>
      <c r="D226" s="395" t="s">
        <v>36</v>
      </c>
      <c r="E226" s="151"/>
      <c r="F226" s="151"/>
      <c r="G226" s="152"/>
      <c r="H226" s="153"/>
      <c r="I226" s="144"/>
      <c r="J226" s="144"/>
      <c r="K226" s="145"/>
      <c r="L226" s="145"/>
      <c r="M226" s="145"/>
      <c r="N226" s="145"/>
      <c r="O226" s="145"/>
      <c r="P226" s="145"/>
    </row>
    <row r="227" spans="1:16" ht="18.75" x14ac:dyDescent="0.25">
      <c r="A227" s="148"/>
      <c r="B227" s="149"/>
      <c r="C227" s="149"/>
      <c r="D227" s="254" t="s">
        <v>96</v>
      </c>
      <c r="E227" s="155"/>
      <c r="F227" s="155"/>
      <c r="G227" s="153"/>
      <c r="H227" s="153"/>
      <c r="I227" s="45"/>
      <c r="J227" s="45"/>
      <c r="K227" s="145"/>
      <c r="L227" s="145"/>
      <c r="M227" s="145"/>
      <c r="N227" s="145"/>
      <c r="O227" s="145"/>
      <c r="P227" s="145"/>
    </row>
    <row r="228" spans="1:16" ht="18.75" x14ac:dyDescent="0.25">
      <c r="A228" s="148"/>
      <c r="B228" s="149"/>
      <c r="C228" s="149"/>
      <c r="D228" s="149"/>
      <c r="E228" s="154" t="s">
        <v>97</v>
      </c>
      <c r="F228" s="155"/>
      <c r="G228" s="153"/>
      <c r="H228" s="251" t="s">
        <v>93</v>
      </c>
      <c r="I228" s="169">
        <f ca="1">IFERROR(__xludf.DUMMYFUNCTION("IMPORTRANGE(""https://docs.google.com/spreadsheets/d/1eHaY18a8A9IcSdp1K8H6x8fbOy06t2VsZHhMHf-1x7Y/edit?usp=sharing"",""แผน!AV25"")"),100000)</f>
        <v>100000</v>
      </c>
      <c r="J228" s="250">
        <v>0</v>
      </c>
      <c r="K228" s="163">
        <f ca="1">IF(I228&gt;0,J228*100/I228,0)</f>
        <v>0</v>
      </c>
      <c r="L228" s="145"/>
      <c r="M228" s="145"/>
      <c r="N228" s="145"/>
      <c r="O228" s="145"/>
      <c r="P228" s="145"/>
    </row>
    <row r="229" spans="1:16" ht="18.75" x14ac:dyDescent="0.25">
      <c r="A229" s="148"/>
      <c r="B229" s="149"/>
      <c r="C229" s="149"/>
      <c r="D229" s="149"/>
      <c r="E229" s="154" t="s">
        <v>98</v>
      </c>
      <c r="F229" s="155"/>
      <c r="G229" s="153"/>
      <c r="H229" s="251" t="s">
        <v>93</v>
      </c>
      <c r="I229" s="169">
        <f ca="1">IFERROR(__xludf.DUMMYFUNCTION("IMPORTRANGE(""https://docs.google.com/spreadsheets/d/1eHaY18a8A9IcSdp1K8H6x8fbOy06t2VsZHhMHf-1x7Y/edit?usp=sharing"",""แผน!AV25"")"),100000)</f>
        <v>100000</v>
      </c>
      <c r="J229" s="250">
        <v>0</v>
      </c>
      <c r="K229" s="163">
        <f ca="1">IF(I229&gt;0,J229*100/I229,0)</f>
        <v>0</v>
      </c>
      <c r="L229" s="46"/>
      <c r="M229" s="46"/>
      <c r="N229" s="46"/>
      <c r="O229" s="46"/>
      <c r="P229" s="46"/>
    </row>
    <row r="230" spans="1:16" ht="18.75" x14ac:dyDescent="0.25">
      <c r="A230" s="148"/>
      <c r="B230" s="149"/>
      <c r="C230" s="149"/>
      <c r="D230" s="254" t="s">
        <v>99</v>
      </c>
      <c r="E230" s="155"/>
      <c r="F230" s="155"/>
      <c r="G230" s="153"/>
      <c r="H230" s="251" t="s">
        <v>33</v>
      </c>
      <c r="I230" s="169">
        <f ca="1">IFERROR(__xludf.DUMMYFUNCTION("IMPORTRANGE(""https://docs.google.com/spreadsheets/d/1eHaY18a8A9IcSdp1K8H6x8fbOy06t2VsZHhMHf-1x7Y/edit?usp=sharing"",""แผน!AU25"")"),0)</f>
        <v>0</v>
      </c>
      <c r="J230" s="250">
        <v>0</v>
      </c>
      <c r="K230" s="163">
        <f ca="1">IF(I230&gt;0,J230*100/I230,0)</f>
        <v>0</v>
      </c>
      <c r="L230" s="46"/>
      <c r="M230" s="46"/>
      <c r="N230" s="46"/>
      <c r="O230" s="46"/>
      <c r="P230" s="46"/>
    </row>
    <row r="231" spans="1:16" ht="19.5" hidden="1" x14ac:dyDescent="0.3">
      <c r="A231" s="233"/>
      <c r="B231" s="234"/>
      <c r="C231" s="235" t="s">
        <v>100</v>
      </c>
      <c r="D231" s="236"/>
      <c r="E231" s="236"/>
      <c r="F231" s="236"/>
      <c r="G231" s="237"/>
      <c r="H231" s="238" t="s">
        <v>33</v>
      </c>
      <c r="I231" s="239">
        <f ca="1">I242+I253</f>
        <v>0</v>
      </c>
      <c r="J231" s="239">
        <f>J242+J253</f>
        <v>0</v>
      </c>
      <c r="K231" s="240">
        <f ca="1">IF(I231&gt;0,J231*100/I231,0)</f>
        <v>0</v>
      </c>
      <c r="L231" s="241"/>
      <c r="M231" s="241"/>
      <c r="N231" s="241"/>
      <c r="O231" s="241"/>
      <c r="P231" s="241"/>
    </row>
    <row r="232" spans="1:16" ht="19.5" hidden="1" x14ac:dyDescent="0.3">
      <c r="A232" s="136"/>
      <c r="B232" s="41"/>
      <c r="C232" s="197" t="s">
        <v>16</v>
      </c>
      <c r="D232" s="397" t="s">
        <v>17</v>
      </c>
      <c r="E232" s="41"/>
      <c r="F232" s="41"/>
      <c r="G232" s="43"/>
      <c r="H232" s="243" t="s">
        <v>12</v>
      </c>
      <c r="I232" s="144"/>
      <c r="J232" s="144"/>
      <c r="K232" s="145"/>
      <c r="L232" s="140">
        <f ca="1">L243+L254</f>
        <v>0</v>
      </c>
      <c r="M232" s="46"/>
      <c r="N232" s="140">
        <f>N243+N254</f>
        <v>0</v>
      </c>
      <c r="O232" s="46"/>
      <c r="P232" s="46"/>
    </row>
    <row r="233" spans="1:16" ht="18.75" hidden="1" x14ac:dyDescent="0.25">
      <c r="A233" s="136"/>
      <c r="B233" s="228"/>
      <c r="C233" s="41"/>
      <c r="D233" s="254" t="s">
        <v>80</v>
      </c>
      <c r="E233" s="41"/>
      <c r="F233" s="41"/>
      <c r="G233" s="43"/>
      <c r="H233" s="143" t="s">
        <v>12</v>
      </c>
      <c r="I233" s="144"/>
      <c r="J233" s="144"/>
      <c r="K233" s="145"/>
      <c r="L233" s="47">
        <f ca="1">L244+L255</f>
        <v>0</v>
      </c>
      <c r="M233" s="46"/>
      <c r="N233" s="47">
        <f>N244+N255</f>
        <v>0</v>
      </c>
      <c r="O233" s="46"/>
      <c r="P233" s="46"/>
    </row>
    <row r="234" spans="1:16" ht="18.75" hidden="1" x14ac:dyDescent="0.25">
      <c r="A234" s="227"/>
      <c r="B234" s="228"/>
      <c r="C234" s="228"/>
      <c r="D234" s="254" t="s">
        <v>82</v>
      </c>
      <c r="E234" s="41"/>
      <c r="F234" s="41"/>
      <c r="G234" s="43"/>
      <c r="H234" s="143" t="s">
        <v>12</v>
      </c>
      <c r="I234" s="45"/>
      <c r="J234" s="45"/>
      <c r="K234" s="46"/>
      <c r="L234" s="47">
        <f ca="1">L245+L256</f>
        <v>0</v>
      </c>
      <c r="M234" s="46"/>
      <c r="N234" s="47">
        <f>N245+N256</f>
        <v>0</v>
      </c>
      <c r="O234" s="46"/>
      <c r="P234" s="46"/>
    </row>
    <row r="235" spans="1:16" ht="18.75" hidden="1" x14ac:dyDescent="0.25">
      <c r="A235" s="227"/>
      <c r="B235" s="228"/>
      <c r="C235" s="228"/>
      <c r="D235" s="254" t="s">
        <v>101</v>
      </c>
      <c r="E235" s="41"/>
      <c r="F235" s="41"/>
      <c r="G235" s="43"/>
      <c r="H235" s="143" t="s">
        <v>12</v>
      </c>
      <c r="I235" s="45"/>
      <c r="J235" s="45"/>
      <c r="K235" s="46"/>
      <c r="L235" s="47">
        <f ca="1">L246+L257</f>
        <v>0</v>
      </c>
      <c r="M235" s="46"/>
      <c r="N235" s="47">
        <f>N246+N257</f>
        <v>0</v>
      </c>
      <c r="O235" s="46"/>
      <c r="P235" s="46"/>
    </row>
    <row r="236" spans="1:16" ht="18.75" hidden="1" x14ac:dyDescent="0.25">
      <c r="A236" s="227"/>
      <c r="B236" s="228"/>
      <c r="C236" s="228"/>
      <c r="D236" s="254" t="s">
        <v>102</v>
      </c>
      <c r="E236" s="41"/>
      <c r="F236" s="41"/>
      <c r="G236" s="43"/>
      <c r="H236" s="143" t="s">
        <v>12</v>
      </c>
      <c r="I236" s="45"/>
      <c r="J236" s="45"/>
      <c r="K236" s="46"/>
      <c r="L236" s="47">
        <f ca="1">L247+L258</f>
        <v>0</v>
      </c>
      <c r="M236" s="46"/>
      <c r="N236" s="47">
        <f>N247+N258</f>
        <v>0</v>
      </c>
      <c r="O236" s="46"/>
      <c r="P236" s="46"/>
    </row>
    <row r="237" spans="1:16" ht="19.5" hidden="1" x14ac:dyDescent="0.3">
      <c r="A237" s="148"/>
      <c r="B237" s="149"/>
      <c r="C237" s="252" t="s">
        <v>16</v>
      </c>
      <c r="D237" s="395" t="s">
        <v>36</v>
      </c>
      <c r="E237" s="151"/>
      <c r="F237" s="151"/>
      <c r="G237" s="152"/>
      <c r="H237" s="153"/>
      <c r="I237" s="144"/>
      <c r="J237" s="45"/>
      <c r="K237" s="46"/>
      <c r="L237" s="46"/>
      <c r="M237" s="46"/>
      <c r="N237" s="46"/>
      <c r="O237" s="145"/>
      <c r="P237" s="145"/>
    </row>
    <row r="238" spans="1:16" ht="18.75" hidden="1" x14ac:dyDescent="0.25">
      <c r="A238" s="148"/>
      <c r="B238" s="149"/>
      <c r="C238" s="149"/>
      <c r="D238" s="159" t="s">
        <v>103</v>
      </c>
      <c r="E238" s="155"/>
      <c r="F238" s="155"/>
      <c r="G238" s="153"/>
      <c r="H238" s="251" t="s">
        <v>33</v>
      </c>
      <c r="I238" s="169">
        <f ca="1">I249+I260</f>
        <v>0</v>
      </c>
      <c r="J238" s="169">
        <f>J249+J260</f>
        <v>0</v>
      </c>
      <c r="K238" s="47">
        <f ca="1">IF(I238&gt;0,J238*100/I238,0)</f>
        <v>0</v>
      </c>
      <c r="L238" s="46"/>
      <c r="M238" s="46"/>
      <c r="N238" s="46"/>
      <c r="O238" s="46"/>
      <c r="P238" s="46"/>
    </row>
    <row r="239" spans="1:16" ht="18.75" hidden="1" x14ac:dyDescent="0.25">
      <c r="A239" s="148"/>
      <c r="B239" s="149"/>
      <c r="C239" s="149"/>
      <c r="D239" s="255" t="s">
        <v>41</v>
      </c>
      <c r="E239" s="155"/>
      <c r="F239" s="155"/>
      <c r="G239" s="153"/>
      <c r="H239" s="153"/>
      <c r="I239" s="45"/>
      <c r="J239" s="45"/>
      <c r="K239" s="46"/>
      <c r="L239" s="46"/>
      <c r="M239" s="46"/>
      <c r="N239" s="46"/>
      <c r="O239" s="145"/>
      <c r="P239" s="145"/>
    </row>
    <row r="240" spans="1:16" ht="18.75" hidden="1" x14ac:dyDescent="0.25">
      <c r="A240" s="148"/>
      <c r="B240" s="149"/>
      <c r="C240" s="149"/>
      <c r="D240" s="149"/>
      <c r="E240" s="154" t="s">
        <v>104</v>
      </c>
      <c r="F240" s="155"/>
      <c r="G240" s="153"/>
      <c r="H240" s="251" t="s">
        <v>33</v>
      </c>
      <c r="I240" s="169">
        <f>I251+I262</f>
        <v>0</v>
      </c>
      <c r="J240" s="169">
        <f>J251+J262</f>
        <v>0</v>
      </c>
      <c r="K240" s="47">
        <f>IF(I240&gt;0,J240*100/I240,0)</f>
        <v>0</v>
      </c>
      <c r="L240" s="46"/>
      <c r="M240" s="46"/>
      <c r="N240" s="46"/>
      <c r="O240" s="46"/>
      <c r="P240" s="46"/>
    </row>
    <row r="241" spans="1:16" ht="18.75" hidden="1" x14ac:dyDescent="0.25">
      <c r="A241" s="148"/>
      <c r="B241" s="149"/>
      <c r="C241" s="149"/>
      <c r="D241" s="149"/>
      <c r="E241" s="154" t="s">
        <v>105</v>
      </c>
      <c r="F241" s="155"/>
      <c r="G241" s="153"/>
      <c r="H241" s="251" t="s">
        <v>54</v>
      </c>
      <c r="I241" s="169">
        <f>I252+I263</f>
        <v>0</v>
      </c>
      <c r="J241" s="169">
        <f>J252+J263</f>
        <v>0</v>
      </c>
      <c r="K241" s="47">
        <f>IF(I241&gt;0,J241*100/I241,0)</f>
        <v>0</v>
      </c>
      <c r="L241" s="46"/>
      <c r="M241" s="46"/>
      <c r="N241" s="46"/>
      <c r="O241" s="46"/>
      <c r="P241" s="46"/>
    </row>
    <row r="242" spans="1:16" ht="19.5" hidden="1" x14ac:dyDescent="0.3">
      <c r="A242" s="233"/>
      <c r="B242" s="234"/>
      <c r="C242" s="256" t="s">
        <v>106</v>
      </c>
      <c r="D242" s="236"/>
      <c r="E242" s="236"/>
      <c r="F242" s="236"/>
      <c r="G242" s="237"/>
      <c r="H242" s="257" t="s">
        <v>33</v>
      </c>
      <c r="I242" s="258">
        <f ca="1">I249</f>
        <v>0</v>
      </c>
      <c r="J242" s="258">
        <f>J249</f>
        <v>0</v>
      </c>
      <c r="K242" s="259">
        <f ca="1">IF(I242&gt;0,J242*100/I242,0)</f>
        <v>0</v>
      </c>
      <c r="L242" s="241"/>
      <c r="M242" s="241"/>
      <c r="N242" s="241"/>
      <c r="O242" s="241"/>
      <c r="P242" s="241"/>
    </row>
    <row r="243" spans="1:16" ht="19.5" hidden="1" x14ac:dyDescent="0.3">
      <c r="A243" s="136"/>
      <c r="B243" s="41"/>
      <c r="C243" s="260" t="s">
        <v>16</v>
      </c>
      <c r="D243" s="261" t="s">
        <v>17</v>
      </c>
      <c r="E243" s="41"/>
      <c r="F243" s="41"/>
      <c r="G243" s="43"/>
      <c r="H243" s="262" t="s">
        <v>12</v>
      </c>
      <c r="I243" s="144"/>
      <c r="J243" s="144"/>
      <c r="K243" s="145"/>
      <c r="L243" s="263">
        <f ca="1">L244+L245+L246+L247</f>
        <v>0</v>
      </c>
      <c r="M243" s="46"/>
      <c r="N243" s="263">
        <f>N244+N245+N246+N247</f>
        <v>0</v>
      </c>
      <c r="O243" s="263">
        <f ca="1">IF(L243&gt;0,N243*100/L243,0)</f>
        <v>0</v>
      </c>
      <c r="P243" s="263">
        <f>IF(M243&gt;0,N243*100/M243,0)</f>
        <v>0</v>
      </c>
    </row>
    <row r="244" spans="1:16" ht="18.75" hidden="1" x14ac:dyDescent="0.25">
      <c r="A244" s="136"/>
      <c r="B244" s="228"/>
      <c r="C244" s="41"/>
      <c r="D244" s="279" t="s">
        <v>80</v>
      </c>
      <c r="E244" s="41"/>
      <c r="F244" s="41"/>
      <c r="G244" s="43"/>
      <c r="H244" s="146" t="s">
        <v>12</v>
      </c>
      <c r="I244" s="144"/>
      <c r="J244" s="144"/>
      <c r="K244" s="145"/>
      <c r="L244" s="50">
        <f ca="1">IFERROR(__xludf.DUMMYFUNCTION("IMPORTRANGE(""https://docs.google.com/spreadsheets/d/1eHaY18a8A9IcSdp1K8H6x8fbOy06t2VsZHhMHf-1x7Y/edit?usp=sharing"",""แผน!AX25"")"),0)</f>
        <v>0</v>
      </c>
      <c r="M244" s="46"/>
      <c r="N244" s="264">
        <v>0</v>
      </c>
      <c r="O244" s="46"/>
      <c r="P244" s="46"/>
    </row>
    <row r="245" spans="1:16" ht="18.75" hidden="1" x14ac:dyDescent="0.25">
      <c r="A245" s="227"/>
      <c r="B245" s="228"/>
      <c r="C245" s="228"/>
      <c r="D245" s="279" t="s">
        <v>82</v>
      </c>
      <c r="E245" s="41"/>
      <c r="F245" s="41"/>
      <c r="G245" s="43"/>
      <c r="H245" s="146" t="s">
        <v>12</v>
      </c>
      <c r="I245" s="45"/>
      <c r="J245" s="45"/>
      <c r="K245" s="46"/>
      <c r="L245" s="50">
        <f ca="1">IFERROR(__xludf.DUMMYFUNCTION("IMPORTRANGE(""https://docs.google.com/spreadsheets/d/1eHaY18a8A9IcSdp1K8H6x8fbOy06t2VsZHhMHf-1x7Y/edit?usp=sharing"",""แผน!AY25"")"),0)</f>
        <v>0</v>
      </c>
      <c r="M245" s="46"/>
      <c r="N245" s="264">
        <v>0</v>
      </c>
      <c r="O245" s="46"/>
      <c r="P245" s="46"/>
    </row>
    <row r="246" spans="1:16" ht="18.75" hidden="1" x14ac:dyDescent="0.25">
      <c r="A246" s="227"/>
      <c r="B246" s="228"/>
      <c r="C246" s="228"/>
      <c r="D246" s="279" t="s">
        <v>101</v>
      </c>
      <c r="E246" s="41"/>
      <c r="F246" s="41"/>
      <c r="G246" s="43"/>
      <c r="H246" s="146" t="s">
        <v>12</v>
      </c>
      <c r="I246" s="45"/>
      <c r="J246" s="45"/>
      <c r="K246" s="46"/>
      <c r="L246" s="50">
        <f ca="1">IFERROR(__xludf.DUMMYFUNCTION("IMPORTRANGE(""https://docs.google.com/spreadsheets/d/1eHaY18a8A9IcSdp1K8H6x8fbOy06t2VsZHhMHf-1x7Y/edit?usp=sharing"",""แผน!AZ25"")"),0)</f>
        <v>0</v>
      </c>
      <c r="M246" s="46"/>
      <c r="N246" s="264">
        <v>0</v>
      </c>
      <c r="O246" s="46"/>
      <c r="P246" s="46"/>
    </row>
    <row r="247" spans="1:16" ht="18.75" hidden="1" x14ac:dyDescent="0.25">
      <c r="A247" s="227"/>
      <c r="B247" s="228"/>
      <c r="C247" s="228"/>
      <c r="D247" s="279" t="s">
        <v>102</v>
      </c>
      <c r="E247" s="41"/>
      <c r="F247" s="41"/>
      <c r="G247" s="43"/>
      <c r="H247" s="146" t="s">
        <v>12</v>
      </c>
      <c r="I247" s="45"/>
      <c r="J247" s="45"/>
      <c r="K247" s="46"/>
      <c r="L247" s="50">
        <f ca="1">IFERROR(__xludf.DUMMYFUNCTION("IMPORTRANGE(""https://docs.google.com/spreadsheets/d/1eHaY18a8A9IcSdp1K8H6x8fbOy06t2VsZHhMHf-1x7Y/edit?usp=sharing"",""แผน!BA25"")"),0)</f>
        <v>0</v>
      </c>
      <c r="M247" s="46"/>
      <c r="N247" s="264">
        <v>0</v>
      </c>
      <c r="O247" s="46"/>
      <c r="P247" s="46"/>
    </row>
    <row r="248" spans="1:16" ht="19.5" hidden="1" x14ac:dyDescent="0.3">
      <c r="A248" s="148"/>
      <c r="B248" s="149"/>
      <c r="C248" s="265" t="s">
        <v>16</v>
      </c>
      <c r="D248" s="394" t="s">
        <v>36</v>
      </c>
      <c r="E248" s="151"/>
      <c r="F248" s="151"/>
      <c r="G248" s="152"/>
      <c r="H248" s="153"/>
      <c r="I248" s="144"/>
      <c r="J248" s="45"/>
      <c r="K248" s="46"/>
      <c r="L248" s="46"/>
      <c r="M248" s="46"/>
      <c r="N248" s="46"/>
      <c r="O248" s="145"/>
      <c r="P248" s="145"/>
    </row>
    <row r="249" spans="1:16" ht="18.75" hidden="1" x14ac:dyDescent="0.25">
      <c r="A249" s="148"/>
      <c r="B249" s="149"/>
      <c r="C249" s="149"/>
      <c r="D249" s="267" t="s">
        <v>103</v>
      </c>
      <c r="E249" s="155"/>
      <c r="F249" s="155"/>
      <c r="G249" s="153"/>
      <c r="H249" s="268" t="s">
        <v>33</v>
      </c>
      <c r="I249" s="200">
        <f ca="1">IFERROR(__xludf.DUMMYFUNCTION("IMPORTRANGE(""https://docs.google.com/spreadsheets/d/1eHaY18a8A9IcSdp1K8H6x8fbOy06t2VsZHhMHf-1x7Y/edit?usp=sharing"",""แผน!BG25"")"),0)</f>
        <v>0</v>
      </c>
      <c r="J249" s="201">
        <v>0</v>
      </c>
      <c r="K249" s="50">
        <f ca="1">IF(I249&gt;0,J249*100/I249,0)</f>
        <v>0</v>
      </c>
      <c r="L249" s="46"/>
      <c r="M249" s="46"/>
      <c r="N249" s="46"/>
      <c r="O249" s="46"/>
      <c r="P249" s="46"/>
    </row>
    <row r="250" spans="1:16" ht="18.75" hidden="1" x14ac:dyDescent="0.25">
      <c r="A250" s="148"/>
      <c r="B250" s="149"/>
      <c r="C250" s="149"/>
      <c r="D250" s="269" t="s">
        <v>41</v>
      </c>
      <c r="E250" s="155"/>
      <c r="F250" s="155"/>
      <c r="G250" s="153"/>
      <c r="H250" s="153"/>
      <c r="I250" s="45"/>
      <c r="J250" s="45"/>
      <c r="K250" s="46"/>
      <c r="L250" s="46"/>
      <c r="M250" s="46"/>
      <c r="N250" s="46"/>
      <c r="O250" s="145"/>
      <c r="P250" s="145"/>
    </row>
    <row r="251" spans="1:16" ht="18.75" hidden="1" x14ac:dyDescent="0.25">
      <c r="A251" s="148"/>
      <c r="B251" s="149"/>
      <c r="C251" s="149"/>
      <c r="D251" s="149"/>
      <c r="E251" s="270" t="s">
        <v>104</v>
      </c>
      <c r="F251" s="155"/>
      <c r="G251" s="153"/>
      <c r="H251" s="268" t="s">
        <v>33</v>
      </c>
      <c r="I251" s="200">
        <v>0</v>
      </c>
      <c r="J251" s="201">
        <v>0</v>
      </c>
      <c r="K251" s="50">
        <f>IF(I251&gt;0,J251*100/I251,0)</f>
        <v>0</v>
      </c>
      <c r="L251" s="46"/>
      <c r="M251" s="46"/>
      <c r="N251" s="46"/>
      <c r="O251" s="46"/>
      <c r="P251" s="46"/>
    </row>
    <row r="252" spans="1:16" ht="18.75" hidden="1" x14ac:dyDescent="0.25">
      <c r="A252" s="148"/>
      <c r="B252" s="149"/>
      <c r="C252" s="149"/>
      <c r="D252" s="149"/>
      <c r="E252" s="270" t="s">
        <v>105</v>
      </c>
      <c r="F252" s="155"/>
      <c r="G252" s="153"/>
      <c r="H252" s="268" t="s">
        <v>54</v>
      </c>
      <c r="I252" s="200">
        <v>0</v>
      </c>
      <c r="J252" s="201">
        <v>0</v>
      </c>
      <c r="K252" s="50">
        <f>IF(I252&gt;0,J252*100/I252,0)</f>
        <v>0</v>
      </c>
      <c r="L252" s="46"/>
      <c r="M252" s="46"/>
      <c r="N252" s="46"/>
      <c r="O252" s="46"/>
      <c r="P252" s="46"/>
    </row>
    <row r="253" spans="1:16" ht="19.5" hidden="1" x14ac:dyDescent="0.3">
      <c r="A253" s="233"/>
      <c r="B253" s="234"/>
      <c r="C253" s="256" t="s">
        <v>107</v>
      </c>
      <c r="D253" s="236"/>
      <c r="E253" s="236"/>
      <c r="F253" s="236"/>
      <c r="G253" s="237"/>
      <c r="H253" s="257" t="s">
        <v>33</v>
      </c>
      <c r="I253" s="258">
        <f ca="1">I260</f>
        <v>0</v>
      </c>
      <c r="J253" s="258">
        <f>J260</f>
        <v>0</v>
      </c>
      <c r="K253" s="259">
        <f ca="1">IF(I253&gt;0,J253*100/I253,0)</f>
        <v>0</v>
      </c>
      <c r="L253" s="241"/>
      <c r="M253" s="241"/>
      <c r="N253" s="241"/>
      <c r="O253" s="241"/>
      <c r="P253" s="241"/>
    </row>
    <row r="254" spans="1:16" ht="19.5" hidden="1" x14ac:dyDescent="0.3">
      <c r="A254" s="136"/>
      <c r="B254" s="41"/>
      <c r="C254" s="260" t="s">
        <v>16</v>
      </c>
      <c r="D254" s="399" t="s">
        <v>17</v>
      </c>
      <c r="E254" s="41"/>
      <c r="F254" s="41"/>
      <c r="G254" s="43"/>
      <c r="H254" s="262" t="s">
        <v>12</v>
      </c>
      <c r="I254" s="144"/>
      <c r="J254" s="144"/>
      <c r="K254" s="145"/>
      <c r="L254" s="263">
        <f ca="1">L255+L256+L257+L258</f>
        <v>0</v>
      </c>
      <c r="M254" s="46"/>
      <c r="N254" s="263">
        <f>N255+N256+N257+N258</f>
        <v>0</v>
      </c>
      <c r="O254" s="263">
        <f ca="1">IF(L254&gt;0,N254*100/L254,0)</f>
        <v>0</v>
      </c>
      <c r="P254" s="263">
        <f>IF(M254&gt;0,N254*100/M254,0)</f>
        <v>0</v>
      </c>
    </row>
    <row r="255" spans="1:16" ht="18.75" hidden="1" x14ac:dyDescent="0.25">
      <c r="A255" s="136"/>
      <c r="B255" s="228"/>
      <c r="C255" s="41"/>
      <c r="D255" s="279" t="s">
        <v>80</v>
      </c>
      <c r="E255" s="41"/>
      <c r="F255" s="41"/>
      <c r="G255" s="43"/>
      <c r="H255" s="146" t="s">
        <v>12</v>
      </c>
      <c r="I255" s="144"/>
      <c r="J255" s="144"/>
      <c r="K255" s="145"/>
      <c r="L255" s="50">
        <f ca="1">IFERROR(__xludf.DUMMYFUNCTION("IMPORTRANGE(""https://docs.google.com/spreadsheets/d/1eHaY18a8A9IcSdp1K8H6x8fbOy06t2VsZHhMHf-1x7Y/edit?usp=sharing"",""แผน!BB25"")"),0)</f>
        <v>0</v>
      </c>
      <c r="M255" s="46"/>
      <c r="N255" s="264">
        <v>0</v>
      </c>
      <c r="O255" s="46"/>
      <c r="P255" s="46"/>
    </row>
    <row r="256" spans="1:16" ht="18.75" hidden="1" x14ac:dyDescent="0.25">
      <c r="A256" s="227"/>
      <c r="B256" s="228"/>
      <c r="C256" s="228"/>
      <c r="D256" s="279" t="s">
        <v>82</v>
      </c>
      <c r="E256" s="41"/>
      <c r="F256" s="41"/>
      <c r="G256" s="43"/>
      <c r="H256" s="146" t="s">
        <v>12</v>
      </c>
      <c r="I256" s="45"/>
      <c r="J256" s="45"/>
      <c r="K256" s="46"/>
      <c r="L256" s="50">
        <f ca="1">IFERROR(__xludf.DUMMYFUNCTION("IMPORTRANGE(""https://docs.google.com/spreadsheets/d/1eHaY18a8A9IcSdp1K8H6x8fbOy06t2VsZHhMHf-1x7Y/edit?usp=sharing"",""แผน!BC25"")"),0)</f>
        <v>0</v>
      </c>
      <c r="M256" s="46"/>
      <c r="N256" s="264">
        <v>0</v>
      </c>
      <c r="O256" s="46"/>
      <c r="P256" s="46"/>
    </row>
    <row r="257" spans="1:16" ht="18.75" hidden="1" x14ac:dyDescent="0.25">
      <c r="A257" s="227"/>
      <c r="B257" s="228"/>
      <c r="C257" s="228"/>
      <c r="D257" s="279" t="s">
        <v>101</v>
      </c>
      <c r="E257" s="41"/>
      <c r="F257" s="41"/>
      <c r="G257" s="43"/>
      <c r="H257" s="146" t="s">
        <v>12</v>
      </c>
      <c r="I257" s="45"/>
      <c r="J257" s="45"/>
      <c r="K257" s="46"/>
      <c r="L257" s="50">
        <f ca="1">IFERROR(__xludf.DUMMYFUNCTION("IMPORTRANGE(""https://docs.google.com/spreadsheets/d/1eHaY18a8A9IcSdp1K8H6x8fbOy06t2VsZHhMHf-1x7Y/edit?usp=sharing"",""แผน!BD25"")"),0)</f>
        <v>0</v>
      </c>
      <c r="M257" s="46"/>
      <c r="N257" s="264">
        <v>0</v>
      </c>
      <c r="O257" s="46"/>
      <c r="P257" s="46"/>
    </row>
    <row r="258" spans="1:16" ht="18.75" hidden="1" x14ac:dyDescent="0.25">
      <c r="A258" s="227"/>
      <c r="B258" s="228"/>
      <c r="C258" s="228"/>
      <c r="D258" s="279" t="s">
        <v>102</v>
      </c>
      <c r="E258" s="41"/>
      <c r="F258" s="41"/>
      <c r="G258" s="43"/>
      <c r="H258" s="146" t="s">
        <v>12</v>
      </c>
      <c r="I258" s="45"/>
      <c r="J258" s="45"/>
      <c r="K258" s="46"/>
      <c r="L258" s="50">
        <f ca="1">IFERROR(__xludf.DUMMYFUNCTION("IMPORTRANGE(""https://docs.google.com/spreadsheets/d/1eHaY18a8A9IcSdp1K8H6x8fbOy06t2VsZHhMHf-1x7Y/edit?usp=sharing"",""แผน!BE25"")"),0)</f>
        <v>0</v>
      </c>
      <c r="M258" s="46"/>
      <c r="N258" s="264">
        <v>0</v>
      </c>
      <c r="O258" s="46"/>
      <c r="P258" s="46"/>
    </row>
    <row r="259" spans="1:16" ht="19.5" hidden="1" x14ac:dyDescent="0.3">
      <c r="A259" s="148"/>
      <c r="B259" s="149"/>
      <c r="C259" s="265" t="s">
        <v>16</v>
      </c>
      <c r="D259" s="394" t="s">
        <v>36</v>
      </c>
      <c r="E259" s="151"/>
      <c r="F259" s="151"/>
      <c r="G259" s="152"/>
      <c r="H259" s="153"/>
      <c r="I259" s="144"/>
      <c r="J259" s="45"/>
      <c r="K259" s="46"/>
      <c r="L259" s="46"/>
      <c r="M259" s="46"/>
      <c r="N259" s="46"/>
      <c r="O259" s="145"/>
      <c r="P259" s="145"/>
    </row>
    <row r="260" spans="1:16" ht="18.75" hidden="1" x14ac:dyDescent="0.25">
      <c r="A260" s="148"/>
      <c r="B260" s="149"/>
      <c r="C260" s="149"/>
      <c r="D260" s="267" t="s">
        <v>103</v>
      </c>
      <c r="E260" s="155"/>
      <c r="F260" s="155"/>
      <c r="G260" s="153"/>
      <c r="H260" s="268" t="s">
        <v>33</v>
      </c>
      <c r="I260" s="200">
        <f ca="1">IFERROR(__xludf.DUMMYFUNCTION("IMPORTRANGE(""https://docs.google.com/spreadsheets/d/1eHaY18a8A9IcSdp1K8H6x8fbOy06t2VsZHhMHf-1x7Y/edit?usp=sharing"",""แผน!BH25"")"),0)</f>
        <v>0</v>
      </c>
      <c r="J260" s="201">
        <v>0</v>
      </c>
      <c r="K260" s="50">
        <f ca="1">IF(I260&gt;0,J260*100/I260,0)</f>
        <v>0</v>
      </c>
      <c r="L260" s="46"/>
      <c r="M260" s="46"/>
      <c r="N260" s="46"/>
      <c r="O260" s="46"/>
      <c r="P260" s="46"/>
    </row>
    <row r="261" spans="1:16" ht="18.75" hidden="1" x14ac:dyDescent="0.25">
      <c r="A261" s="148"/>
      <c r="B261" s="149"/>
      <c r="C261" s="149"/>
      <c r="D261" s="269" t="s">
        <v>41</v>
      </c>
      <c r="E261" s="155"/>
      <c r="F261" s="155"/>
      <c r="G261" s="153"/>
      <c r="H261" s="153"/>
      <c r="I261" s="45"/>
      <c r="J261" s="45"/>
      <c r="K261" s="46"/>
      <c r="L261" s="46"/>
      <c r="M261" s="46"/>
      <c r="N261" s="46"/>
      <c r="O261" s="145"/>
      <c r="P261" s="145"/>
    </row>
    <row r="262" spans="1:16" ht="18.75" hidden="1" x14ac:dyDescent="0.25">
      <c r="A262" s="148"/>
      <c r="B262" s="149"/>
      <c r="C262" s="149"/>
      <c r="D262" s="149"/>
      <c r="E262" s="270" t="s">
        <v>104</v>
      </c>
      <c r="F262" s="155"/>
      <c r="G262" s="153"/>
      <c r="H262" s="268" t="s">
        <v>33</v>
      </c>
      <c r="I262" s="45"/>
      <c r="J262" s="201">
        <v>0</v>
      </c>
      <c r="K262" s="50">
        <f>IF(I262&gt;0,J262*100/I262,0)</f>
        <v>0</v>
      </c>
      <c r="L262" s="46"/>
      <c r="M262" s="46"/>
      <c r="N262" s="46"/>
      <c r="O262" s="46"/>
      <c r="P262" s="46"/>
    </row>
    <row r="263" spans="1:16" ht="18.75" hidden="1" x14ac:dyDescent="0.25">
      <c r="A263" s="148"/>
      <c r="B263" s="149"/>
      <c r="C263" s="149"/>
      <c r="D263" s="149"/>
      <c r="E263" s="270" t="s">
        <v>105</v>
      </c>
      <c r="F263" s="155"/>
      <c r="G263" s="153"/>
      <c r="H263" s="268" t="s">
        <v>54</v>
      </c>
      <c r="I263" s="45"/>
      <c r="J263" s="201">
        <v>0</v>
      </c>
      <c r="K263" s="50">
        <f>IF(I263&gt;0,J263*100/I263,0)</f>
        <v>0</v>
      </c>
      <c r="L263" s="46"/>
      <c r="M263" s="46"/>
      <c r="N263" s="46"/>
      <c r="O263" s="46"/>
      <c r="P263" s="46"/>
    </row>
    <row r="264" spans="1:16" ht="19.5" hidden="1" x14ac:dyDescent="0.3">
      <c r="A264" s="272" t="s">
        <v>108</v>
      </c>
      <c r="B264" s="215"/>
      <c r="C264" s="215"/>
      <c r="D264" s="216"/>
      <c r="E264" s="216"/>
      <c r="F264" s="216"/>
      <c r="G264" s="217"/>
      <c r="H264" s="217"/>
      <c r="I264" s="218"/>
      <c r="J264" s="218"/>
      <c r="K264" s="219"/>
      <c r="L264" s="219"/>
      <c r="M264" s="219"/>
      <c r="N264" s="219"/>
      <c r="O264" s="219"/>
      <c r="P264" s="219"/>
    </row>
    <row r="265" spans="1:16" ht="19.5" hidden="1" x14ac:dyDescent="0.3">
      <c r="A265" s="220"/>
      <c r="B265" s="273" t="s">
        <v>109</v>
      </c>
      <c r="C265" s="222"/>
      <c r="D265" s="151"/>
      <c r="E265" s="151"/>
      <c r="F265" s="151"/>
      <c r="G265" s="152"/>
      <c r="H265" s="274" t="s">
        <v>33</v>
      </c>
      <c r="I265" s="275">
        <f>I276</f>
        <v>0</v>
      </c>
      <c r="J265" s="275">
        <f>J276</f>
        <v>0</v>
      </c>
      <c r="K265" s="276">
        <f>IF(I265&gt;0,J265*100/I265,0)</f>
        <v>0</v>
      </c>
      <c r="L265" s="226"/>
      <c r="M265" s="226"/>
      <c r="N265" s="226"/>
      <c r="O265" s="226"/>
      <c r="P265" s="226"/>
    </row>
    <row r="266" spans="1:16" ht="19.5" hidden="1" x14ac:dyDescent="0.3">
      <c r="A266" s="136"/>
      <c r="B266" s="41"/>
      <c r="C266" s="260" t="s">
        <v>16</v>
      </c>
      <c r="D266" s="261" t="s">
        <v>17</v>
      </c>
      <c r="E266" s="41"/>
      <c r="F266" s="41"/>
      <c r="G266" s="43"/>
      <c r="H266" s="277" t="s">
        <v>12</v>
      </c>
      <c r="I266" s="45"/>
      <c r="J266" s="45"/>
      <c r="K266" s="46"/>
      <c r="L266" s="263">
        <f ca="1">L267+L268</f>
        <v>0</v>
      </c>
      <c r="M266" s="263">
        <f ca="1">M267+M268</f>
        <v>0</v>
      </c>
      <c r="N266" s="263">
        <f ca="1">N267+N268</f>
        <v>0</v>
      </c>
      <c r="O266" s="263">
        <f ca="1">IF(L266&gt;0,N266*100/L266,0)</f>
        <v>0</v>
      </c>
      <c r="P266" s="263">
        <f ca="1">IF(M266&gt;0,N266*100/M266,0)</f>
        <v>0</v>
      </c>
    </row>
    <row r="267" spans="1:16" ht="18.75" hidden="1" x14ac:dyDescent="0.25">
      <c r="A267" s="136"/>
      <c r="B267" s="41"/>
      <c r="C267" s="41"/>
      <c r="D267" s="41"/>
      <c r="E267" s="279" t="s">
        <v>18</v>
      </c>
      <c r="F267" s="41"/>
      <c r="G267" s="43"/>
      <c r="H267" s="141" t="s">
        <v>12</v>
      </c>
      <c r="I267" s="45"/>
      <c r="J267" s="45"/>
      <c r="K267" s="46"/>
      <c r="L267" s="50">
        <f>L270+L273</f>
        <v>0</v>
      </c>
      <c r="M267" s="50">
        <f>M270+M273</f>
        <v>0</v>
      </c>
      <c r="N267" s="50">
        <f>N270+N273</f>
        <v>0</v>
      </c>
      <c r="O267" s="50">
        <f>IF(L267&gt;0,N267*100/L267,0)</f>
        <v>0</v>
      </c>
      <c r="P267" s="50">
        <f>IF(M267&gt;0,N267*100/M267,0)</f>
        <v>0</v>
      </c>
    </row>
    <row r="268" spans="1:16" ht="18.75" hidden="1" x14ac:dyDescent="0.25">
      <c r="A268" s="136"/>
      <c r="B268" s="41"/>
      <c r="C268" s="41"/>
      <c r="D268" s="41"/>
      <c r="E268" s="279" t="s">
        <v>19</v>
      </c>
      <c r="F268" s="41"/>
      <c r="G268" s="43"/>
      <c r="H268" s="141" t="s">
        <v>12</v>
      </c>
      <c r="I268" s="45"/>
      <c r="J268" s="45"/>
      <c r="K268" s="46"/>
      <c r="L268" s="50">
        <f ca="1">L271+L274</f>
        <v>0</v>
      </c>
      <c r="M268" s="50">
        <f ca="1">M271+M274</f>
        <v>0</v>
      </c>
      <c r="N268" s="50">
        <f ca="1">N271+N274</f>
        <v>0</v>
      </c>
      <c r="O268" s="50">
        <f ca="1">IF(L268&gt;0,N268*100/L268,0)</f>
        <v>0</v>
      </c>
      <c r="P268" s="50">
        <f ca="1">IF(M268&gt;0,N268*100/M268,0)</f>
        <v>0</v>
      </c>
    </row>
    <row r="269" spans="1:16" ht="18.75" hidden="1" x14ac:dyDescent="0.25">
      <c r="A269" s="136"/>
      <c r="B269" s="41"/>
      <c r="C269" s="41"/>
      <c r="D269" s="278" t="s">
        <v>20</v>
      </c>
      <c r="E269" s="41"/>
      <c r="F269" s="41"/>
      <c r="G269" s="43"/>
      <c r="H269" s="146" t="s">
        <v>12</v>
      </c>
      <c r="I269" s="144"/>
      <c r="J269" s="144"/>
      <c r="K269" s="145"/>
      <c r="L269" s="50">
        <f ca="1">L270+L271</f>
        <v>0</v>
      </c>
      <c r="M269" s="50">
        <f ca="1">M270+M271</f>
        <v>0</v>
      </c>
      <c r="N269" s="50">
        <f ca="1">N270+N271</f>
        <v>0</v>
      </c>
      <c r="O269" s="50">
        <f ca="1">IF(L269&gt;0,N269*100/L269,0)</f>
        <v>0</v>
      </c>
      <c r="P269" s="50">
        <f ca="1">IF(M269&gt;0,N269*100/M269,0)</f>
        <v>0</v>
      </c>
    </row>
    <row r="270" spans="1:16" ht="18.75" hidden="1" x14ac:dyDescent="0.25">
      <c r="A270" s="136"/>
      <c r="B270" s="41"/>
      <c r="C270" s="41"/>
      <c r="D270" s="41"/>
      <c r="E270" s="279" t="s">
        <v>34</v>
      </c>
      <c r="F270" s="41"/>
      <c r="G270" s="43"/>
      <c r="H270" s="146" t="s">
        <v>12</v>
      </c>
      <c r="I270" s="144"/>
      <c r="J270" s="144"/>
      <c r="K270" s="145"/>
      <c r="L270" s="50">
        <v>0</v>
      </c>
      <c r="M270" s="50">
        <v>0</v>
      </c>
      <c r="N270" s="50">
        <v>0</v>
      </c>
      <c r="O270" s="50">
        <f>IF(L270&gt;0,N270*100/L270,0)</f>
        <v>0</v>
      </c>
      <c r="P270" s="50">
        <f>IF(M270&gt;0,N270*100/M270,0)</f>
        <v>0</v>
      </c>
    </row>
    <row r="271" spans="1:16" ht="18.75" hidden="1" x14ac:dyDescent="0.25">
      <c r="A271" s="136"/>
      <c r="B271" s="41"/>
      <c r="C271" s="41"/>
      <c r="D271" s="41"/>
      <c r="E271" s="279" t="s">
        <v>35</v>
      </c>
      <c r="F271" s="41"/>
      <c r="G271" s="43"/>
      <c r="H271" s="146" t="s">
        <v>12</v>
      </c>
      <c r="I271" s="144"/>
      <c r="J271" s="144"/>
      <c r="K271" s="145"/>
      <c r="L271" s="50">
        <f ca="1">IFERROR(__xludf.DUMMYFUNCTION("IMPORTRANGE(""https://docs.google.com/spreadsheets/d/1-uDff_7J0KD5mKrp0Vvzr7lt3OU09vwQwhkpOPPYv2Y/edit?usp=sharing"",""งบพรบ!DE25"")"),0)</f>
        <v>0</v>
      </c>
      <c r="M271" s="50">
        <f ca="1">IFERROR(__xludf.DUMMYFUNCTION("IMPORTRANGE(""https://docs.google.com/spreadsheets/d/1-uDff_7J0KD5mKrp0Vvzr7lt3OU09vwQwhkpOPPYv2Y/edit?usp=sharing"",""งบพรบ!DJ25"")"),0)</f>
        <v>0</v>
      </c>
      <c r="N271" s="50">
        <f ca="1">IFERROR(__xludf.DUMMYFUNCTION("IMPORTRANGE(""https://docs.google.com/spreadsheets/d/1-uDff_7J0KD5mKrp0Vvzr7lt3OU09vwQwhkpOPPYv2Y/edit?usp=sharing"",""งบพรบ!DL25"")"),0)</f>
        <v>0</v>
      </c>
      <c r="O271" s="50">
        <f ca="1">IF(L271&gt;0,N271*100/L271,0)</f>
        <v>0</v>
      </c>
      <c r="P271" s="50">
        <f ca="1">IF(M271&gt;0,N271*100/M271,0)</f>
        <v>0</v>
      </c>
    </row>
    <row r="272" spans="1:16" ht="18.75" hidden="1" x14ac:dyDescent="0.25">
      <c r="A272" s="136"/>
      <c r="B272" s="41"/>
      <c r="C272" s="41"/>
      <c r="D272" s="278" t="s">
        <v>21</v>
      </c>
      <c r="E272" s="41"/>
      <c r="F272" s="41"/>
      <c r="G272" s="43"/>
      <c r="H272" s="199" t="s">
        <v>12</v>
      </c>
      <c r="I272" s="144"/>
      <c r="J272" s="144"/>
      <c r="K272" s="145"/>
      <c r="L272" s="50">
        <f ca="1">L273+L274</f>
        <v>0</v>
      </c>
      <c r="M272" s="50">
        <f ca="1">M273+M274</f>
        <v>0</v>
      </c>
      <c r="N272" s="50">
        <f ca="1">N273+N274</f>
        <v>0</v>
      </c>
      <c r="O272" s="50">
        <f ca="1">IF(L272&gt;0,N272*100/L272,0)</f>
        <v>0</v>
      </c>
      <c r="P272" s="50">
        <f ca="1">IF(M272&gt;0,N272*100/M272,0)</f>
        <v>0</v>
      </c>
    </row>
    <row r="273" spans="1:16" ht="18.75" hidden="1" x14ac:dyDescent="0.25">
      <c r="A273" s="136"/>
      <c r="B273" s="41"/>
      <c r="C273" s="41"/>
      <c r="D273" s="41"/>
      <c r="E273" s="279" t="s">
        <v>18</v>
      </c>
      <c r="F273" s="41"/>
      <c r="G273" s="43"/>
      <c r="H273" s="146" t="s">
        <v>12</v>
      </c>
      <c r="I273" s="144"/>
      <c r="J273" s="144"/>
      <c r="K273" s="145"/>
      <c r="L273" s="50">
        <v>0</v>
      </c>
      <c r="M273" s="50">
        <v>0</v>
      </c>
      <c r="N273" s="50">
        <v>0</v>
      </c>
      <c r="O273" s="50">
        <f>IF(L273&gt;0,N273*100/L273,0)</f>
        <v>0</v>
      </c>
      <c r="P273" s="50">
        <f>IF(M273&gt;0,N273*100/M273,0)</f>
        <v>0</v>
      </c>
    </row>
    <row r="274" spans="1:16" ht="18.75" hidden="1" x14ac:dyDescent="0.25">
      <c r="A274" s="136"/>
      <c r="B274" s="41"/>
      <c r="C274" s="41"/>
      <c r="D274" s="41"/>
      <c r="E274" s="279" t="s">
        <v>19</v>
      </c>
      <c r="F274" s="41"/>
      <c r="G274" s="43"/>
      <c r="H274" s="199" t="s">
        <v>12</v>
      </c>
      <c r="I274" s="144"/>
      <c r="J274" s="144"/>
      <c r="K274" s="145"/>
      <c r="L274" s="50">
        <f ca="1">IFERROR(__xludf.DUMMYFUNCTION("IMPORTRANGE(""https://docs.google.com/spreadsheets/d/1-uDff_7J0KD5mKrp0Vvzr7lt3OU09vwQwhkpOPPYv2Y/edit?usp=sharing"",""งบพรบ!DH25"")"),0)</f>
        <v>0</v>
      </c>
      <c r="M274" s="50">
        <f ca="1">IFERROR(__xludf.DUMMYFUNCTION("IMPORTRANGE(""https://docs.google.com/spreadsheets/d/1-uDff_7J0KD5mKrp0Vvzr7lt3OU09vwQwhkpOPPYv2Y/edit?usp=sharing"",""งบพรบ!DK25"")"),0)</f>
        <v>0</v>
      </c>
      <c r="N274" s="50">
        <f ca="1">IFERROR(__xludf.DUMMYFUNCTION("IMPORTRANGE(""https://docs.google.com/spreadsheets/d/1-uDff_7J0KD5mKrp0Vvzr7lt3OU09vwQwhkpOPPYv2Y/edit?usp=sharing"",""งบพรบ!DM25"")"),0)</f>
        <v>0</v>
      </c>
      <c r="O274" s="50">
        <f ca="1">IF(L274&gt;0,N274*100/L274,0)</f>
        <v>0</v>
      </c>
      <c r="P274" s="50">
        <f ca="1">IF(M274&gt;0,N274*100/M274,0)</f>
        <v>0</v>
      </c>
    </row>
    <row r="275" spans="1:16" ht="19.5" hidden="1" x14ac:dyDescent="0.3">
      <c r="A275" s="148"/>
      <c r="B275" s="149"/>
      <c r="C275" s="279" t="s">
        <v>16</v>
      </c>
      <c r="D275" s="394" t="s">
        <v>36</v>
      </c>
      <c r="E275" s="151"/>
      <c r="F275" s="151"/>
      <c r="G275" s="152"/>
      <c r="H275" s="153"/>
      <c r="I275" s="144"/>
      <c r="J275" s="144"/>
      <c r="K275" s="145"/>
      <c r="L275" s="145"/>
      <c r="M275" s="145"/>
      <c r="N275" s="145"/>
      <c r="O275" s="145"/>
      <c r="P275" s="145"/>
    </row>
    <row r="276" spans="1:16" ht="12.75" hidden="1" x14ac:dyDescent="0.2">
      <c r="A276" s="165"/>
      <c r="B276" s="166"/>
      <c r="C276" s="166"/>
      <c r="D276" s="16"/>
      <c r="E276" s="16"/>
      <c r="F276" s="16"/>
      <c r="G276" s="17"/>
      <c r="H276" s="17"/>
      <c r="I276" s="18"/>
      <c r="J276" s="18"/>
      <c r="K276" s="19"/>
      <c r="L276" s="19"/>
      <c r="M276" s="19"/>
      <c r="N276" s="19"/>
      <c r="O276" s="19"/>
      <c r="P276" s="19"/>
    </row>
    <row r="277" spans="1:16" ht="18.75" hidden="1" x14ac:dyDescent="0.25">
      <c r="A277" s="280"/>
      <c r="B277" s="281"/>
      <c r="C277" s="281"/>
      <c r="D277" s="282" t="s">
        <v>110</v>
      </c>
      <c r="E277" s="283"/>
      <c r="F277" s="283"/>
      <c r="G277" s="284"/>
      <c r="H277" s="285" t="s">
        <v>33</v>
      </c>
      <c r="I277" s="205">
        <v>0</v>
      </c>
      <c r="J277" s="205">
        <v>0</v>
      </c>
      <c r="K277" s="286">
        <v>0</v>
      </c>
      <c r="L277" s="287"/>
      <c r="M277" s="287"/>
      <c r="N277" s="287"/>
      <c r="O277" s="287"/>
      <c r="P277" s="287"/>
    </row>
    <row r="278" spans="1:16" ht="19.5" x14ac:dyDescent="0.3">
      <c r="A278" s="288" t="s">
        <v>111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</row>
    <row r="279" spans="1:16" ht="19.5" x14ac:dyDescent="0.3">
      <c r="A279" s="294" t="s">
        <v>112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299"/>
      <c r="M279" s="299"/>
      <c r="N279" s="299"/>
      <c r="O279" s="299"/>
      <c r="P279" s="299"/>
    </row>
    <row r="280" spans="1:16" ht="19.5" x14ac:dyDescent="0.3">
      <c r="A280" s="300"/>
      <c r="B280" s="301" t="s">
        <v>113</v>
      </c>
      <c r="C280" s="302"/>
      <c r="D280" s="303"/>
      <c r="E280" s="302"/>
      <c r="F280" s="302"/>
      <c r="G280" s="304"/>
      <c r="H280" s="305" t="s">
        <v>33</v>
      </c>
      <c r="I280" s="306">
        <f ca="1">I293</f>
        <v>10</v>
      </c>
      <c r="J280" s="306">
        <f>J293</f>
        <v>0</v>
      </c>
      <c r="K280" s="307">
        <f ca="1">IF(I280&gt;0,J280*100/I280,0)</f>
        <v>0</v>
      </c>
      <c r="L280" s="308"/>
      <c r="M280" s="308"/>
      <c r="N280" s="308"/>
      <c r="O280" s="308"/>
      <c r="P280" s="308"/>
    </row>
    <row r="281" spans="1:16" ht="19.5" x14ac:dyDescent="0.3">
      <c r="A281" s="300"/>
      <c r="B281" s="302"/>
      <c r="C281" s="302"/>
      <c r="D281" s="303"/>
      <c r="E281" s="302"/>
      <c r="F281" s="302"/>
      <c r="G281" s="304"/>
      <c r="H281" s="305" t="s">
        <v>44</v>
      </c>
      <c r="I281" s="306">
        <f ca="1">I292</f>
        <v>100</v>
      </c>
      <c r="J281" s="306">
        <f>J292</f>
        <v>0</v>
      </c>
      <c r="K281" s="307">
        <f ca="1">IF(I281&gt;0,J281*100/I281,0)</f>
        <v>0</v>
      </c>
      <c r="L281" s="308"/>
      <c r="M281" s="308"/>
      <c r="N281" s="308"/>
      <c r="O281" s="308"/>
      <c r="P281" s="308"/>
    </row>
    <row r="282" spans="1:16" ht="19.5" x14ac:dyDescent="0.3">
      <c r="A282" s="136"/>
      <c r="B282" s="41"/>
      <c r="C282" s="197" t="s">
        <v>16</v>
      </c>
      <c r="D282" s="397" t="s">
        <v>17</v>
      </c>
      <c r="E282" s="41"/>
      <c r="F282" s="41"/>
      <c r="G282" s="43"/>
      <c r="H282" s="139" t="s">
        <v>12</v>
      </c>
      <c r="I282" s="45"/>
      <c r="J282" s="45"/>
      <c r="K282" s="46"/>
      <c r="L282" s="140">
        <f ca="1">L283+L284</f>
        <v>140120</v>
      </c>
      <c r="M282" s="140">
        <f ca="1">M283+M284</f>
        <v>105480</v>
      </c>
      <c r="N282" s="140">
        <f ca="1">N283+N284</f>
        <v>33279.440000000002</v>
      </c>
      <c r="O282" s="140">
        <f ca="1">IF(L282&gt;0,N282*100/L282,0)</f>
        <v>23.750670853554098</v>
      </c>
      <c r="P282" s="140">
        <f ca="1">IF(M282&gt;0,N282*100/M282,0)</f>
        <v>31.550474023511565</v>
      </c>
    </row>
    <row r="283" spans="1:16" ht="18.75" hidden="1" x14ac:dyDescent="0.25">
      <c r="A283" s="136"/>
      <c r="B283" s="41"/>
      <c r="C283" s="41"/>
      <c r="D283" s="41"/>
      <c r="E283" s="279" t="s">
        <v>18</v>
      </c>
      <c r="F283" s="41"/>
      <c r="G283" s="43"/>
      <c r="H283" s="141" t="s">
        <v>12</v>
      </c>
      <c r="I283" s="45"/>
      <c r="J283" s="45"/>
      <c r="K283" s="46"/>
      <c r="L283" s="50">
        <f>L286+L289</f>
        <v>0</v>
      </c>
      <c r="M283" s="50">
        <f>M286+M289</f>
        <v>0</v>
      </c>
      <c r="N283" s="50">
        <f>N286+N289</f>
        <v>0</v>
      </c>
      <c r="O283" s="50">
        <f>IF(L283&gt;0,N283*100/L283,0)</f>
        <v>0</v>
      </c>
      <c r="P283" s="50">
        <f>IF(M283&gt;0,N283*100/M283,0)</f>
        <v>0</v>
      </c>
    </row>
    <row r="284" spans="1:16" ht="18.75" x14ac:dyDescent="0.25">
      <c r="A284" s="136"/>
      <c r="B284" s="41"/>
      <c r="C284" s="41"/>
      <c r="D284" s="41"/>
      <c r="E284" s="254" t="s">
        <v>19</v>
      </c>
      <c r="F284" s="41"/>
      <c r="G284" s="43"/>
      <c r="H284" s="142" t="s">
        <v>12</v>
      </c>
      <c r="I284" s="45"/>
      <c r="J284" s="45"/>
      <c r="K284" s="46"/>
      <c r="L284" s="47">
        <f ca="1">L287+L290</f>
        <v>140120</v>
      </c>
      <c r="M284" s="47">
        <f ca="1">M287+M290</f>
        <v>105480</v>
      </c>
      <c r="N284" s="47">
        <f ca="1">N287+N290</f>
        <v>33279.440000000002</v>
      </c>
      <c r="O284" s="47">
        <f ca="1">IF(L284&gt;0,N284*100/L284,0)</f>
        <v>23.750670853554098</v>
      </c>
      <c r="P284" s="47">
        <f ca="1">IF(M284&gt;0,N284*100/M284,0)</f>
        <v>31.550474023511565</v>
      </c>
    </row>
    <row r="285" spans="1:16" ht="18.75" x14ac:dyDescent="0.25">
      <c r="A285" s="136"/>
      <c r="B285" s="41"/>
      <c r="C285" s="41"/>
      <c r="D285" s="42" t="s">
        <v>20</v>
      </c>
      <c r="E285" s="41"/>
      <c r="F285" s="41"/>
      <c r="G285" s="43"/>
      <c r="H285" s="143" t="s">
        <v>12</v>
      </c>
      <c r="I285" s="144"/>
      <c r="J285" s="144"/>
      <c r="K285" s="145"/>
      <c r="L285" s="47">
        <f ca="1">L286+L287</f>
        <v>140120</v>
      </c>
      <c r="M285" s="47">
        <f ca="1">M286+M287</f>
        <v>105480</v>
      </c>
      <c r="N285" s="47">
        <f ca="1">N286+N287</f>
        <v>33279.440000000002</v>
      </c>
      <c r="O285" s="47">
        <f ca="1">IF(L285&gt;0,N285*100/L285,0)</f>
        <v>23.750670853554098</v>
      </c>
      <c r="P285" s="47">
        <f ca="1">IF(M285&gt;0,N285*100/M285,0)</f>
        <v>31.550474023511565</v>
      </c>
    </row>
    <row r="286" spans="1:16" ht="18.75" hidden="1" x14ac:dyDescent="0.25">
      <c r="A286" s="136"/>
      <c r="B286" s="41"/>
      <c r="C286" s="41"/>
      <c r="D286" s="41"/>
      <c r="E286" s="279" t="s">
        <v>34</v>
      </c>
      <c r="F286" s="41"/>
      <c r="G286" s="43"/>
      <c r="H286" s="146" t="s">
        <v>12</v>
      </c>
      <c r="I286" s="144"/>
      <c r="J286" s="144"/>
      <c r="K286" s="145"/>
      <c r="L286" s="50">
        <v>0</v>
      </c>
      <c r="M286" s="50">
        <v>0</v>
      </c>
      <c r="N286" s="50">
        <v>0</v>
      </c>
      <c r="O286" s="50">
        <f>IF(L286&gt;0,N286*100/L286,0)</f>
        <v>0</v>
      </c>
      <c r="P286" s="50">
        <f>IF(M286&gt;0,N286*100/M286,0)</f>
        <v>0</v>
      </c>
    </row>
    <row r="287" spans="1:16" ht="18.75" x14ac:dyDescent="0.25">
      <c r="A287" s="136"/>
      <c r="B287" s="41"/>
      <c r="C287" s="41"/>
      <c r="D287" s="41"/>
      <c r="E287" s="254" t="s">
        <v>35</v>
      </c>
      <c r="F287" s="41"/>
      <c r="G287" s="43"/>
      <c r="H287" s="143" t="s">
        <v>12</v>
      </c>
      <c r="I287" s="144"/>
      <c r="J287" s="144"/>
      <c r="K287" s="145"/>
      <c r="L287" s="47">
        <f ca="1">IFERROR(__xludf.DUMMYFUNCTION("IMPORTRANGE(""https://docs.google.com/spreadsheets/d/1-uDff_7J0KD5mKrp0Vvzr7lt3OU09vwQwhkpOPPYv2Y/edit?usp=sharing"",""งบพรบ!DO25"")"),140120)</f>
        <v>140120</v>
      </c>
      <c r="M287" s="47">
        <f ca="1">IFERROR(__xludf.DUMMYFUNCTION("IMPORTRANGE(""https://docs.google.com/spreadsheets/d/1-uDff_7J0KD5mKrp0Vvzr7lt3OU09vwQwhkpOPPYv2Y/edit?usp=sharing"",""งบพรบ!DT25"")"),105480)</f>
        <v>105480</v>
      </c>
      <c r="N287" s="47">
        <f ca="1">IFERROR(__xludf.DUMMYFUNCTION("IMPORTRANGE(""https://docs.google.com/spreadsheets/d/1-uDff_7J0KD5mKrp0Vvzr7lt3OU09vwQwhkpOPPYv2Y/edit?usp=sharing"",""งบพรบ!DV25"")"),33279.44)</f>
        <v>33279.440000000002</v>
      </c>
      <c r="O287" s="47">
        <f ca="1">IF(L287&gt;0,N287*100/L287,0)</f>
        <v>23.750670853554098</v>
      </c>
      <c r="P287" s="47">
        <f ca="1">IF(M287&gt;0,N287*100/M287,0)</f>
        <v>31.550474023511565</v>
      </c>
    </row>
    <row r="288" spans="1:16" ht="18.75" x14ac:dyDescent="0.25">
      <c r="A288" s="136"/>
      <c r="B288" s="41"/>
      <c r="C288" s="41"/>
      <c r="D288" s="42" t="s">
        <v>21</v>
      </c>
      <c r="E288" s="41"/>
      <c r="F288" s="41"/>
      <c r="G288" s="43"/>
      <c r="H288" s="147" t="s">
        <v>12</v>
      </c>
      <c r="I288" s="144"/>
      <c r="J288" s="144"/>
      <c r="K288" s="145"/>
      <c r="L288" s="47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</row>
    <row r="289" spans="1:16" ht="18.75" hidden="1" x14ac:dyDescent="0.25">
      <c r="A289" s="136"/>
      <c r="B289" s="41"/>
      <c r="C289" s="41"/>
      <c r="D289" s="41"/>
      <c r="E289" s="279" t="s">
        <v>18</v>
      </c>
      <c r="F289" s="41"/>
      <c r="G289" s="43"/>
      <c r="H289" s="146" t="s">
        <v>12</v>
      </c>
      <c r="I289" s="144"/>
      <c r="J289" s="144"/>
      <c r="K289" s="145"/>
      <c r="L289" s="50">
        <v>0</v>
      </c>
      <c r="M289" s="50">
        <v>0</v>
      </c>
      <c r="N289" s="50">
        <v>0</v>
      </c>
      <c r="O289" s="50">
        <f>IF(L289&gt;0,N289*100/L289,0)</f>
        <v>0</v>
      </c>
      <c r="P289" s="50">
        <f>IF(M289&gt;0,N289*100/M289,0)</f>
        <v>0</v>
      </c>
    </row>
    <row r="290" spans="1:16" ht="18.75" x14ac:dyDescent="0.25">
      <c r="A290" s="136"/>
      <c r="B290" s="41"/>
      <c r="C290" s="41"/>
      <c r="D290" s="41"/>
      <c r="E290" s="254" t="s">
        <v>19</v>
      </c>
      <c r="F290" s="41"/>
      <c r="G290" s="43"/>
      <c r="H290" s="147" t="s">
        <v>12</v>
      </c>
      <c r="I290" s="144"/>
      <c r="J290" s="144"/>
      <c r="K290" s="145"/>
      <c r="L290" s="47">
        <f ca="1">IFERROR(__xludf.DUMMYFUNCTION("IMPORTRANGE(""https://docs.google.com/spreadsheets/d/1-uDff_7J0KD5mKrp0Vvzr7lt3OU09vwQwhkpOPPYv2Y/edit?usp=sharing"",""งบพรบ!DR25"")"),0)</f>
        <v>0</v>
      </c>
      <c r="M290" s="47">
        <f ca="1">IFERROR(__xludf.DUMMYFUNCTION("IMPORTRANGE(""https://docs.google.com/spreadsheets/d/1-uDff_7J0KD5mKrp0Vvzr7lt3OU09vwQwhkpOPPYv2Y/edit?usp=sharing"",""งบพรบ!DU25"")"),0)</f>
        <v>0</v>
      </c>
      <c r="N290" s="47">
        <f ca="1">IFERROR(__xludf.DUMMYFUNCTION("IMPORTRANGE(""https://docs.google.com/spreadsheets/d/1-uDff_7J0KD5mKrp0Vvzr7lt3OU09vwQwhkpOPPYv2Y/edit?usp=sharing"",""งบพรบ!DW25"")"),0)</f>
        <v>0</v>
      </c>
      <c r="O290" s="47">
        <f ca="1">IF(L290&gt;0,N290*100/L290,0)</f>
        <v>0</v>
      </c>
      <c r="P290" s="47">
        <f ca="1">IF(M290&gt;0,N290*100/M290,0)</f>
        <v>0</v>
      </c>
    </row>
    <row r="291" spans="1:16" ht="19.5" x14ac:dyDescent="0.3">
      <c r="A291" s="148"/>
      <c r="B291" s="149"/>
      <c r="C291" s="197" t="s">
        <v>16</v>
      </c>
      <c r="D291" s="395" t="s">
        <v>36</v>
      </c>
      <c r="E291" s="151"/>
      <c r="F291" s="151"/>
      <c r="G291" s="152"/>
      <c r="H291" s="153"/>
      <c r="I291" s="144"/>
      <c r="J291" s="144"/>
      <c r="K291" s="145"/>
      <c r="L291" s="145"/>
      <c r="M291" s="145"/>
      <c r="N291" s="145"/>
      <c r="O291" s="145"/>
      <c r="P291" s="145"/>
    </row>
    <row r="292" spans="1:16" ht="18.75" x14ac:dyDescent="0.25">
      <c r="A292" s="148"/>
      <c r="B292" s="149"/>
      <c r="C292" s="149"/>
      <c r="D292" s="159" t="s">
        <v>114</v>
      </c>
      <c r="E292" s="149"/>
      <c r="F292" s="155"/>
      <c r="G292" s="153"/>
      <c r="H292" s="164" t="s">
        <v>44</v>
      </c>
      <c r="I292" s="169">
        <f ca="1">IFERROR(__xludf.DUMMYFUNCTION("IMPORTRANGE(""https://docs.google.com/spreadsheets/d/1eHaY18a8A9IcSdp1K8H6x8fbOy06t2VsZHhMHf-1x7Y/edit?usp=sharing"",""แผน!EE25"")"),100)</f>
        <v>100</v>
      </c>
      <c r="J292" s="250">
        <v>0</v>
      </c>
      <c r="K292" s="163">
        <f ca="1">IF(I292&gt;0,J292*100/I292,0)</f>
        <v>0</v>
      </c>
      <c r="L292" s="145"/>
      <c r="M292" s="145"/>
      <c r="N292" s="145"/>
      <c r="O292" s="145"/>
      <c r="P292" s="145"/>
    </row>
    <row r="293" spans="1:16" ht="19.5" x14ac:dyDescent="0.3">
      <c r="A293" s="148"/>
      <c r="B293" s="149"/>
      <c r="C293" s="149"/>
      <c r="D293" s="159" t="s">
        <v>115</v>
      </c>
      <c r="E293" s="149"/>
      <c r="F293" s="155"/>
      <c r="G293" s="153"/>
      <c r="H293" s="156" t="s">
        <v>33</v>
      </c>
      <c r="I293" s="157">
        <f ca="1">IFERROR(__xludf.DUMMYFUNCTION("IMPORTRANGE(""https://docs.google.com/spreadsheets/d/1eHaY18a8A9IcSdp1K8H6x8fbOy06t2VsZHhMHf-1x7Y/edit?usp=sharing"",""แผน!ED25"")"),10)</f>
        <v>10</v>
      </c>
      <c r="J293" s="157">
        <f>J296</f>
        <v>0</v>
      </c>
      <c r="K293" s="158">
        <f ca="1">IF(I293&gt;0,J293*100/I293,0)</f>
        <v>0</v>
      </c>
      <c r="L293" s="145"/>
      <c r="M293" s="145"/>
      <c r="N293" s="145"/>
      <c r="O293" s="145"/>
      <c r="P293" s="145"/>
    </row>
    <row r="294" spans="1:16" ht="19.5" x14ac:dyDescent="0.3">
      <c r="A294" s="148"/>
      <c r="B294" s="149"/>
      <c r="C294" s="149"/>
      <c r="D294" s="155"/>
      <c r="E294" s="167" t="s">
        <v>116</v>
      </c>
      <c r="F294" s="155"/>
      <c r="G294" s="153"/>
      <c r="H294" s="153"/>
      <c r="I294" s="144"/>
      <c r="J294" s="45"/>
      <c r="K294" s="145"/>
      <c r="L294" s="145"/>
      <c r="M294" s="145"/>
      <c r="N294" s="145"/>
      <c r="O294" s="145"/>
      <c r="P294" s="145"/>
    </row>
    <row r="295" spans="1:16" ht="19.5" x14ac:dyDescent="0.3">
      <c r="A295" s="148"/>
      <c r="B295" s="149"/>
      <c r="C295" s="149"/>
      <c r="D295" s="155"/>
      <c r="E295" s="159" t="s">
        <v>117</v>
      </c>
      <c r="F295" s="155"/>
      <c r="G295" s="153"/>
      <c r="H295" s="251" t="s">
        <v>33</v>
      </c>
      <c r="I295" s="161">
        <f ca="1">IFERROR(__xludf.DUMMYFUNCTION("IMPORTRANGE(""https://docs.google.com/spreadsheets/d/1eHaY18a8A9IcSdp1K8H6x8fbOy06t2VsZHhMHf-1x7Y/edit?usp=sharing"",""แผน!ED25"")"),10)</f>
        <v>10</v>
      </c>
      <c r="J295" s="250">
        <v>0</v>
      </c>
      <c r="K295" s="163">
        <f ca="1">IF(I295&gt;0,J295*100/I295,0)</f>
        <v>0</v>
      </c>
      <c r="L295" s="145"/>
      <c r="M295" s="145"/>
      <c r="N295" s="145"/>
      <c r="O295" s="145"/>
      <c r="P295" s="145"/>
    </row>
    <row r="296" spans="1:16" ht="19.5" x14ac:dyDescent="0.3">
      <c r="A296" s="148"/>
      <c r="B296" s="149"/>
      <c r="C296" s="149"/>
      <c r="D296" s="155"/>
      <c r="E296" s="159" t="s">
        <v>118</v>
      </c>
      <c r="F296" s="155"/>
      <c r="G296" s="153"/>
      <c r="H296" s="251" t="s">
        <v>33</v>
      </c>
      <c r="I296" s="161">
        <f ca="1">IFERROR(__xludf.DUMMYFUNCTION("IMPORTRANGE(""https://docs.google.com/spreadsheets/d/1eHaY18a8A9IcSdp1K8H6x8fbOy06t2VsZHhMHf-1x7Y/edit?usp=sharing"",""แผน!ED25"")"),10)</f>
        <v>10</v>
      </c>
      <c r="J296" s="250">
        <v>0</v>
      </c>
      <c r="K296" s="163">
        <f ca="1">IF(I296&gt;0,J296*100/I296,0)</f>
        <v>0</v>
      </c>
      <c r="L296" s="145"/>
      <c r="M296" s="145"/>
      <c r="N296" s="145"/>
      <c r="O296" s="145"/>
      <c r="P296" s="145"/>
    </row>
    <row r="297" spans="1:16" ht="12.75" hidden="1" x14ac:dyDescent="0.2">
      <c r="A297" s="165"/>
      <c r="B297" s="166"/>
      <c r="C297" s="166"/>
      <c r="D297" s="16"/>
      <c r="E297" s="16"/>
      <c r="F297" s="16"/>
      <c r="G297" s="17"/>
      <c r="H297" s="17"/>
      <c r="I297" s="18"/>
      <c r="J297" s="18"/>
      <c r="K297" s="19"/>
      <c r="L297" s="19"/>
      <c r="M297" s="19"/>
      <c r="N297" s="19"/>
      <c r="O297" s="19"/>
      <c r="P297" s="19"/>
    </row>
    <row r="298" spans="1:16" ht="12.75" hidden="1" x14ac:dyDescent="0.2">
      <c r="A298" s="165"/>
      <c r="B298" s="166"/>
      <c r="C298" s="166"/>
      <c r="D298" s="16"/>
      <c r="E298" s="16"/>
      <c r="F298" s="16"/>
      <c r="G298" s="17"/>
      <c r="H298" s="17"/>
      <c r="I298" s="18"/>
      <c r="J298" s="18"/>
      <c r="K298" s="19"/>
      <c r="L298" s="19"/>
      <c r="M298" s="19"/>
      <c r="N298" s="19"/>
      <c r="O298" s="19"/>
      <c r="P298" s="19"/>
    </row>
    <row r="299" spans="1:16" ht="12.75" hidden="1" x14ac:dyDescent="0.2">
      <c r="A299" s="309"/>
      <c r="B299" s="310"/>
      <c r="C299" s="310"/>
      <c r="D299" s="21"/>
      <c r="E299" s="21"/>
      <c r="F299" s="21"/>
      <c r="G299" s="12"/>
      <c r="H299" s="12"/>
      <c r="I299" s="13"/>
      <c r="J299" s="13"/>
      <c r="K299" s="14"/>
      <c r="L299" s="14"/>
      <c r="M299" s="14"/>
      <c r="N299" s="14"/>
      <c r="O299" s="14"/>
      <c r="P299" s="14"/>
    </row>
    <row r="300" spans="1:16" ht="19.5" hidden="1" x14ac:dyDescent="0.3">
      <c r="A300" s="311" t="s">
        <v>119</v>
      </c>
      <c r="B300" s="312"/>
      <c r="C300" s="312"/>
      <c r="D300" s="312"/>
      <c r="E300" s="313"/>
      <c r="F300" s="313"/>
      <c r="G300" s="313"/>
      <c r="H300" s="313"/>
      <c r="I300" s="314"/>
      <c r="J300" s="314"/>
      <c r="K300" s="315"/>
      <c r="L300" s="315"/>
      <c r="M300" s="315"/>
      <c r="N300" s="315"/>
      <c r="O300" s="315"/>
      <c r="P300" s="316"/>
    </row>
    <row r="301" spans="1:16" ht="19.5" hidden="1" x14ac:dyDescent="0.3">
      <c r="A301" s="317" t="s">
        <v>120</v>
      </c>
      <c r="B301" s="318"/>
      <c r="C301" s="318"/>
      <c r="D301" s="319"/>
      <c r="E301" s="319"/>
      <c r="F301" s="319"/>
      <c r="G301" s="320"/>
      <c r="H301" s="320"/>
      <c r="I301" s="321"/>
      <c r="J301" s="321"/>
      <c r="K301" s="322"/>
      <c r="L301" s="322"/>
      <c r="M301" s="322"/>
      <c r="N301" s="322"/>
      <c r="O301" s="322"/>
      <c r="P301" s="322"/>
    </row>
    <row r="302" spans="1:16" ht="19.5" hidden="1" x14ac:dyDescent="0.3">
      <c r="A302" s="323"/>
      <c r="B302" s="324" t="s">
        <v>121</v>
      </c>
      <c r="C302" s="325"/>
      <c r="D302" s="325"/>
      <c r="E302" s="325"/>
      <c r="F302" s="325"/>
      <c r="G302" s="326"/>
      <c r="H302" s="327" t="s">
        <v>33</v>
      </c>
      <c r="I302" s="328">
        <f ca="1">I314</f>
        <v>0</v>
      </c>
      <c r="J302" s="328">
        <f>J314</f>
        <v>0</v>
      </c>
      <c r="K302" s="329">
        <f ca="1">IF(I302&gt;0,J302*100/I302,0)</f>
        <v>0</v>
      </c>
      <c r="L302" s="330"/>
      <c r="M302" s="330"/>
      <c r="N302" s="330"/>
      <c r="O302" s="330"/>
      <c r="P302" s="330"/>
    </row>
    <row r="303" spans="1:16" ht="19.5" hidden="1" x14ac:dyDescent="0.3">
      <c r="A303" s="136"/>
      <c r="B303" s="41"/>
      <c r="C303" s="197" t="s">
        <v>16</v>
      </c>
      <c r="D303" s="397" t="s">
        <v>17</v>
      </c>
      <c r="E303" s="41"/>
      <c r="F303" s="41"/>
      <c r="G303" s="43"/>
      <c r="H303" s="139" t="s">
        <v>12</v>
      </c>
      <c r="I303" s="45"/>
      <c r="J303" s="45"/>
      <c r="K303" s="46"/>
      <c r="L303" s="140">
        <f ca="1">L304+L305</f>
        <v>0</v>
      </c>
      <c r="M303" s="140">
        <f ca="1">M304+M305</f>
        <v>0</v>
      </c>
      <c r="N303" s="140">
        <f ca="1">N304+N305</f>
        <v>0</v>
      </c>
      <c r="O303" s="140">
        <f ca="1">IF(L303&gt;0,N303*100/L303,0)</f>
        <v>0</v>
      </c>
      <c r="P303" s="140">
        <f ca="1">IF(M303&gt;0,N303*100/M303,0)</f>
        <v>0</v>
      </c>
    </row>
    <row r="304" spans="1:16" ht="18.75" hidden="1" x14ac:dyDescent="0.25">
      <c r="A304" s="136"/>
      <c r="B304" s="41"/>
      <c r="C304" s="41"/>
      <c r="D304" s="41"/>
      <c r="E304" s="279" t="s">
        <v>18</v>
      </c>
      <c r="F304" s="41"/>
      <c r="G304" s="43"/>
      <c r="H304" s="141" t="s">
        <v>12</v>
      </c>
      <c r="I304" s="45"/>
      <c r="J304" s="45"/>
      <c r="K304" s="46"/>
      <c r="L304" s="50">
        <f>L307+L310</f>
        <v>0</v>
      </c>
      <c r="M304" s="50">
        <f>M307+M310</f>
        <v>0</v>
      </c>
      <c r="N304" s="50">
        <f>N307+N310</f>
        <v>0</v>
      </c>
      <c r="O304" s="50">
        <f>IF(L304&gt;0,N304*100/L304,0)</f>
        <v>0</v>
      </c>
      <c r="P304" s="50">
        <f>IF(M304&gt;0,N304*100/M304,0)</f>
        <v>0</v>
      </c>
    </row>
    <row r="305" spans="1:16" ht="18.75" hidden="1" x14ac:dyDescent="0.25">
      <c r="A305" s="136"/>
      <c r="B305" s="41"/>
      <c r="C305" s="41"/>
      <c r="D305" s="41"/>
      <c r="E305" s="254" t="s">
        <v>19</v>
      </c>
      <c r="F305" s="41"/>
      <c r="G305" s="43"/>
      <c r="H305" s="142" t="s">
        <v>12</v>
      </c>
      <c r="I305" s="45"/>
      <c r="J305" s="45"/>
      <c r="K305" s="46"/>
      <c r="L305" s="47">
        <f ca="1">L308+L311</f>
        <v>0</v>
      </c>
      <c r="M305" s="47">
        <f ca="1">M308+M311</f>
        <v>0</v>
      </c>
      <c r="N305" s="47">
        <f ca="1">N308+N311</f>
        <v>0</v>
      </c>
      <c r="O305" s="47">
        <f ca="1">IF(L305&gt;0,N305*100/L305,0)</f>
        <v>0</v>
      </c>
      <c r="P305" s="47">
        <f ca="1">IF(M305&gt;0,N305*100/M305,0)</f>
        <v>0</v>
      </c>
    </row>
    <row r="306" spans="1:16" ht="18.75" hidden="1" x14ac:dyDescent="0.25">
      <c r="A306" s="136"/>
      <c r="B306" s="41"/>
      <c r="C306" s="41"/>
      <c r="D306" s="42" t="s">
        <v>20</v>
      </c>
      <c r="E306" s="41"/>
      <c r="F306" s="41"/>
      <c r="G306" s="43"/>
      <c r="H306" s="143" t="s">
        <v>12</v>
      </c>
      <c r="I306" s="144"/>
      <c r="J306" s="144"/>
      <c r="K306" s="145"/>
      <c r="L306" s="47">
        <f ca="1">L307+L308</f>
        <v>0</v>
      </c>
      <c r="M306" s="47">
        <f ca="1">M307+M308</f>
        <v>0</v>
      </c>
      <c r="N306" s="47">
        <f ca="1">N307+N308</f>
        <v>0</v>
      </c>
      <c r="O306" s="47">
        <f ca="1">IF(L306&gt;0,N306*100/L306,0)</f>
        <v>0</v>
      </c>
      <c r="P306" s="47">
        <f ca="1">IF(M306&gt;0,N306*100/M306,0)</f>
        <v>0</v>
      </c>
    </row>
    <row r="307" spans="1:16" ht="18.75" hidden="1" x14ac:dyDescent="0.25">
      <c r="A307" s="136"/>
      <c r="B307" s="41"/>
      <c r="C307" s="41"/>
      <c r="D307" s="41"/>
      <c r="E307" s="279" t="s">
        <v>34</v>
      </c>
      <c r="F307" s="41"/>
      <c r="G307" s="43"/>
      <c r="H307" s="146" t="s">
        <v>12</v>
      </c>
      <c r="I307" s="144"/>
      <c r="J307" s="144"/>
      <c r="K307" s="145"/>
      <c r="L307" s="50">
        <v>0</v>
      </c>
      <c r="M307" s="50">
        <v>0</v>
      </c>
      <c r="N307" s="50">
        <v>0</v>
      </c>
      <c r="O307" s="50">
        <f>IF(L307&gt;0,N307*100/L307,0)</f>
        <v>0</v>
      </c>
      <c r="P307" s="50">
        <f>IF(M307&gt;0,N307*100/M307,0)</f>
        <v>0</v>
      </c>
    </row>
    <row r="308" spans="1:16" ht="18.75" hidden="1" x14ac:dyDescent="0.25">
      <c r="A308" s="136"/>
      <c r="B308" s="41"/>
      <c r="C308" s="41"/>
      <c r="D308" s="41"/>
      <c r="E308" s="254" t="s">
        <v>35</v>
      </c>
      <c r="F308" s="41"/>
      <c r="G308" s="43"/>
      <c r="H308" s="143" t="s">
        <v>12</v>
      </c>
      <c r="I308" s="144"/>
      <c r="J308" s="144"/>
      <c r="K308" s="145"/>
      <c r="L308" s="47">
        <f ca="1">IFERROR(__xludf.DUMMYFUNCTION("IMPORTRANGE(""https://docs.google.com/spreadsheets/d/1-uDff_7J0KD5mKrp0Vvzr7lt3OU09vwQwhkpOPPYv2Y/edit?usp=sharing"",""งบพรบ!DY25"")"),0)</f>
        <v>0</v>
      </c>
      <c r="M308" s="47">
        <f ca="1">IFERROR(__xludf.DUMMYFUNCTION("IMPORTRANGE(""https://docs.google.com/spreadsheets/d/1-uDff_7J0KD5mKrp0Vvzr7lt3OU09vwQwhkpOPPYv2Y/edit?usp=sharing"",""งบพรบ!ED25"")"),0)</f>
        <v>0</v>
      </c>
      <c r="N308" s="47">
        <f ca="1">IFERROR(__xludf.DUMMYFUNCTION("IMPORTRANGE(""https://docs.google.com/spreadsheets/d/1-uDff_7J0KD5mKrp0Vvzr7lt3OU09vwQwhkpOPPYv2Y/edit?usp=sharing"",""งบพรบ!EF25"")"),0)</f>
        <v>0</v>
      </c>
      <c r="O308" s="47">
        <f ca="1">IF(L308&gt;0,N308*100/L308,0)</f>
        <v>0</v>
      </c>
      <c r="P308" s="47">
        <f ca="1">IF(M308&gt;0,N308*100/M308,0)</f>
        <v>0</v>
      </c>
    </row>
    <row r="309" spans="1:16" ht="18.75" hidden="1" x14ac:dyDescent="0.25">
      <c r="A309" s="136"/>
      <c r="B309" s="41"/>
      <c r="C309" s="41"/>
      <c r="D309" s="42" t="s">
        <v>21</v>
      </c>
      <c r="E309" s="41"/>
      <c r="F309" s="41"/>
      <c r="G309" s="43"/>
      <c r="H309" s="147" t="s">
        <v>12</v>
      </c>
      <c r="I309" s="144"/>
      <c r="J309" s="144"/>
      <c r="K309" s="145"/>
      <c r="L309" s="47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</row>
    <row r="310" spans="1:16" ht="18.75" hidden="1" x14ac:dyDescent="0.25">
      <c r="A310" s="136"/>
      <c r="B310" s="41"/>
      <c r="C310" s="41"/>
      <c r="D310" s="41"/>
      <c r="E310" s="279" t="s">
        <v>18</v>
      </c>
      <c r="F310" s="41"/>
      <c r="G310" s="43"/>
      <c r="H310" s="146" t="s">
        <v>12</v>
      </c>
      <c r="I310" s="144"/>
      <c r="J310" s="144"/>
      <c r="K310" s="145"/>
      <c r="L310" s="50">
        <v>0</v>
      </c>
      <c r="M310" s="50">
        <v>0</v>
      </c>
      <c r="N310" s="50">
        <v>0</v>
      </c>
      <c r="O310" s="50">
        <f>IF(L310&gt;0,N310*100/L310,0)</f>
        <v>0</v>
      </c>
      <c r="P310" s="50">
        <f>IF(M310&gt;0,N310*100/M310,0)</f>
        <v>0</v>
      </c>
    </row>
    <row r="311" spans="1:16" ht="18.75" hidden="1" x14ac:dyDescent="0.25">
      <c r="A311" s="136"/>
      <c r="B311" s="41"/>
      <c r="C311" s="41"/>
      <c r="D311" s="41"/>
      <c r="E311" s="254" t="s">
        <v>19</v>
      </c>
      <c r="F311" s="41"/>
      <c r="G311" s="43"/>
      <c r="H311" s="147" t="s">
        <v>12</v>
      </c>
      <c r="I311" s="144"/>
      <c r="J311" s="144"/>
      <c r="K311" s="145"/>
      <c r="L311" s="47">
        <f ca="1">IFERROR(__xludf.DUMMYFUNCTION("IMPORTRANGE(""https://docs.google.com/spreadsheets/d/1-uDff_7J0KD5mKrp0Vvzr7lt3OU09vwQwhkpOPPYv2Y/edit?usp=sharing"",""งบพรบ!EB25"")"),0)</f>
        <v>0</v>
      </c>
      <c r="M311" s="47">
        <f ca="1">IFERROR(__xludf.DUMMYFUNCTION("IMPORTRANGE(""https://docs.google.com/spreadsheets/d/1-uDff_7J0KD5mKrp0Vvzr7lt3OU09vwQwhkpOPPYv2Y/edit?usp=sharing"",""งบพรบ!EE25"")"),0)</f>
        <v>0</v>
      </c>
      <c r="N311" s="47">
        <f ca="1">IFERROR(__xludf.DUMMYFUNCTION("IMPORTRANGE(""https://docs.google.com/spreadsheets/d/1-uDff_7J0KD5mKrp0Vvzr7lt3OU09vwQwhkpOPPYv2Y/edit?usp=sharing"",""งบพรบ!EG25"")"),0)</f>
        <v>0</v>
      </c>
      <c r="O311" s="47">
        <f ca="1">IF(L311&gt;0,N311*100/L311,0)</f>
        <v>0</v>
      </c>
      <c r="P311" s="47">
        <f ca="1">IF(M311&gt;0,N311*100/M311,0)</f>
        <v>0</v>
      </c>
    </row>
    <row r="312" spans="1:16" ht="19.5" hidden="1" x14ac:dyDescent="0.3">
      <c r="A312" s="148"/>
      <c r="B312" s="149"/>
      <c r="C312" s="197" t="s">
        <v>16</v>
      </c>
      <c r="D312" s="395" t="s">
        <v>36</v>
      </c>
      <c r="E312" s="151"/>
      <c r="F312" s="151"/>
      <c r="G312" s="152"/>
      <c r="H312" s="153"/>
      <c r="I312" s="45"/>
      <c r="J312" s="45"/>
      <c r="K312" s="46"/>
      <c r="L312" s="46"/>
      <c r="M312" s="46"/>
      <c r="N312" s="46"/>
      <c r="O312" s="46"/>
      <c r="P312" s="46"/>
    </row>
    <row r="313" spans="1:16" ht="18.75" hidden="1" x14ac:dyDescent="0.25">
      <c r="A313" s="148"/>
      <c r="B313" s="149"/>
      <c r="C313" s="149"/>
      <c r="D313" s="159" t="s">
        <v>122</v>
      </c>
      <c r="E313" s="155"/>
      <c r="F313" s="155"/>
      <c r="G313" s="153"/>
      <c r="H313" s="153"/>
      <c r="I313" s="45"/>
      <c r="J313" s="250">
        <v>0</v>
      </c>
      <c r="K313" s="46"/>
      <c r="L313" s="46"/>
      <c r="M313" s="46"/>
      <c r="N313" s="46"/>
      <c r="O313" s="46"/>
      <c r="P313" s="46"/>
    </row>
    <row r="314" spans="1:16" ht="18.75" hidden="1" x14ac:dyDescent="0.25">
      <c r="A314" s="148"/>
      <c r="B314" s="149"/>
      <c r="C314" s="149"/>
      <c r="D314" s="159" t="s">
        <v>115</v>
      </c>
      <c r="E314" s="155"/>
      <c r="F314" s="155"/>
      <c r="G314" s="153"/>
      <c r="H314" s="251" t="s">
        <v>33</v>
      </c>
      <c r="I314" s="169">
        <f ca="1">IFERROR(__xludf.DUMMYFUNCTION("IMPORTRANGE(""https://docs.google.com/spreadsheets/d/1eHaY18a8A9IcSdp1K8H6x8fbOy06t2VsZHhMHf-1x7Y/edit?usp=sharing"",""แผน!EF25"")"),0)</f>
        <v>0</v>
      </c>
      <c r="J314" s="250">
        <v>0</v>
      </c>
      <c r="K314" s="47">
        <f ca="1">IF(I314&gt;0,J314*100/I314,0)</f>
        <v>0</v>
      </c>
      <c r="L314" s="46"/>
      <c r="M314" s="46"/>
      <c r="N314" s="46"/>
      <c r="O314" s="46"/>
      <c r="P314" s="46"/>
    </row>
    <row r="315" spans="1:16" ht="18.75" hidden="1" x14ac:dyDescent="0.25">
      <c r="A315" s="148"/>
      <c r="B315" s="149"/>
      <c r="C315" s="149"/>
      <c r="D315" s="159" t="s">
        <v>123</v>
      </c>
      <c r="E315" s="155"/>
      <c r="F315" s="155"/>
      <c r="G315" s="153"/>
      <c r="H315" s="251" t="s">
        <v>33</v>
      </c>
      <c r="I315" s="169">
        <f ca="1">IFERROR(__xludf.DUMMYFUNCTION("IMPORTRANGE(""https://docs.google.com/spreadsheets/d/1eHaY18a8A9IcSdp1K8H6x8fbOy06t2VsZHhMHf-1x7Y/edit?usp=sharing"",""แผน!EG25"")"),0)</f>
        <v>0</v>
      </c>
      <c r="J315" s="250">
        <v>0</v>
      </c>
      <c r="K315" s="47">
        <f ca="1">IF(I315&gt;0,J315*100/I315,0)</f>
        <v>0</v>
      </c>
      <c r="L315" s="46"/>
      <c r="M315" s="46"/>
      <c r="N315" s="46"/>
      <c r="O315" s="46"/>
      <c r="P315" s="46"/>
    </row>
    <row r="316" spans="1:16" ht="18.75" hidden="1" x14ac:dyDescent="0.25">
      <c r="A316" s="148"/>
      <c r="B316" s="149"/>
      <c r="C316" s="149"/>
      <c r="D316" s="159" t="s">
        <v>48</v>
      </c>
      <c r="E316" s="155"/>
      <c r="F316" s="155"/>
      <c r="G316" s="153"/>
      <c r="H316" s="251" t="s">
        <v>33</v>
      </c>
      <c r="I316" s="169">
        <f ca="1">IFERROR(__xludf.DUMMYFUNCTION("IMPORTRANGE(""https://docs.google.com/spreadsheets/d/1eHaY18a8A9IcSdp1K8H6x8fbOy06t2VsZHhMHf-1x7Y/edit?usp=sharing"",""แผน!EH25"")"),0)</f>
        <v>0</v>
      </c>
      <c r="J316" s="250">
        <v>0</v>
      </c>
      <c r="K316" s="47">
        <f ca="1">IF(I316&gt;0,J316*100/I316,0)</f>
        <v>0</v>
      </c>
      <c r="L316" s="46"/>
      <c r="M316" s="46"/>
      <c r="N316" s="46"/>
      <c r="O316" s="46"/>
      <c r="P316" s="46"/>
    </row>
    <row r="317" spans="1:16" ht="18.75" hidden="1" x14ac:dyDescent="0.25">
      <c r="A317" s="227"/>
      <c r="B317" s="228"/>
      <c r="C317" s="228"/>
      <c r="D317" s="279" t="s">
        <v>124</v>
      </c>
      <c r="E317" s="41"/>
      <c r="F317" s="41"/>
      <c r="G317" s="43"/>
      <c r="H317" s="49" t="s">
        <v>33</v>
      </c>
      <c r="I317" s="200">
        <f ca="1">IFERROR(__xludf.DUMMYFUNCTION("IMPORTRANGE(""https://docs.google.com/spreadsheets/d/1eHaY18a8A9IcSdp1K8H6x8fbOy06t2VsZHhMHf-1x7Y/edit?usp=sharing"",""แผน!EI25"")"),0)</f>
        <v>0</v>
      </c>
      <c r="J317" s="200">
        <v>0</v>
      </c>
      <c r="K317" s="50">
        <f ca="1">IF(I317&gt;0,J317*100/I317,0)</f>
        <v>0</v>
      </c>
      <c r="L317" s="46"/>
      <c r="M317" s="46"/>
      <c r="N317" s="46"/>
      <c r="O317" s="46"/>
      <c r="P317" s="46"/>
    </row>
    <row r="318" spans="1:16" ht="19.5" hidden="1" x14ac:dyDescent="0.3">
      <c r="A318" s="317" t="s">
        <v>125</v>
      </c>
      <c r="B318" s="318"/>
      <c r="C318" s="318"/>
      <c r="D318" s="319"/>
      <c r="E318" s="318"/>
      <c r="F318" s="318"/>
      <c r="G318" s="318"/>
      <c r="H318" s="319"/>
      <c r="I318" s="321"/>
      <c r="J318" s="321"/>
      <c r="K318" s="322"/>
      <c r="L318" s="322"/>
      <c r="M318" s="322"/>
      <c r="N318" s="322"/>
      <c r="O318" s="322"/>
      <c r="P318" s="322"/>
    </row>
    <row r="319" spans="1:16" ht="19.5" hidden="1" x14ac:dyDescent="0.3">
      <c r="A319" s="331"/>
      <c r="B319" s="324" t="s">
        <v>126</v>
      </c>
      <c r="C319" s="332"/>
      <c r="D319" s="333"/>
      <c r="E319" s="325"/>
      <c r="F319" s="325"/>
      <c r="G319" s="326"/>
      <c r="H319" s="327" t="s">
        <v>127</v>
      </c>
      <c r="I319" s="328">
        <f ca="1">I330</f>
        <v>0</v>
      </c>
      <c r="J319" s="328">
        <f>J330</f>
        <v>0</v>
      </c>
      <c r="K319" s="329">
        <f ca="1">IF(I319&gt;0,J319*100/I319,0)</f>
        <v>0</v>
      </c>
      <c r="L319" s="330"/>
      <c r="M319" s="330"/>
      <c r="N319" s="330"/>
      <c r="O319" s="330"/>
      <c r="P319" s="330"/>
    </row>
    <row r="320" spans="1:16" ht="19.5" hidden="1" x14ac:dyDescent="0.3">
      <c r="A320" s="136"/>
      <c r="B320" s="41"/>
      <c r="C320" s="197" t="s">
        <v>16</v>
      </c>
      <c r="D320" s="397" t="s">
        <v>17</v>
      </c>
      <c r="E320" s="41"/>
      <c r="F320" s="41"/>
      <c r="G320" s="43"/>
      <c r="H320" s="139" t="s">
        <v>12</v>
      </c>
      <c r="I320" s="45"/>
      <c r="J320" s="45"/>
      <c r="K320" s="46"/>
      <c r="L320" s="140">
        <f ca="1">L321+L322</f>
        <v>0</v>
      </c>
      <c r="M320" s="140">
        <f ca="1">M321+M322</f>
        <v>0</v>
      </c>
      <c r="N320" s="140">
        <f ca="1">N321+N322</f>
        <v>0</v>
      </c>
      <c r="O320" s="140">
        <f ca="1">IF(L320&gt;0,N320*100/L320,0)</f>
        <v>0</v>
      </c>
      <c r="P320" s="140">
        <f ca="1">IF(M320&gt;0,N320*100/M320,0)</f>
        <v>0</v>
      </c>
    </row>
    <row r="321" spans="1:16" ht="18.75" hidden="1" x14ac:dyDescent="0.25">
      <c r="A321" s="136"/>
      <c r="B321" s="41"/>
      <c r="C321" s="41"/>
      <c r="D321" s="41"/>
      <c r="E321" s="279" t="s">
        <v>18</v>
      </c>
      <c r="F321" s="41"/>
      <c r="G321" s="43"/>
      <c r="H321" s="141" t="s">
        <v>12</v>
      </c>
      <c r="I321" s="45"/>
      <c r="J321" s="45"/>
      <c r="K321" s="46"/>
      <c r="L321" s="50">
        <f>L324+L327</f>
        <v>0</v>
      </c>
      <c r="M321" s="50">
        <f>M324+M327</f>
        <v>0</v>
      </c>
      <c r="N321" s="50">
        <f>N324+N327</f>
        <v>0</v>
      </c>
      <c r="O321" s="50">
        <f>IF(L321&gt;0,N321*100/L321,0)</f>
        <v>0</v>
      </c>
      <c r="P321" s="50">
        <f>IF(M321&gt;0,N321*100/M321,0)</f>
        <v>0</v>
      </c>
    </row>
    <row r="322" spans="1:16" ht="18.75" hidden="1" x14ac:dyDescent="0.25">
      <c r="A322" s="136"/>
      <c r="B322" s="41"/>
      <c r="C322" s="41"/>
      <c r="D322" s="41"/>
      <c r="E322" s="254" t="s">
        <v>19</v>
      </c>
      <c r="F322" s="41"/>
      <c r="G322" s="43"/>
      <c r="H322" s="142" t="s">
        <v>12</v>
      </c>
      <c r="I322" s="45"/>
      <c r="J322" s="45"/>
      <c r="K322" s="46"/>
      <c r="L322" s="47">
        <f ca="1">L325+L328</f>
        <v>0</v>
      </c>
      <c r="M322" s="47">
        <f ca="1">M325+M328</f>
        <v>0</v>
      </c>
      <c r="N322" s="47">
        <f ca="1">N325+N328</f>
        <v>0</v>
      </c>
      <c r="O322" s="47">
        <f ca="1">IF(L322&gt;0,N322*100/L322,0)</f>
        <v>0</v>
      </c>
      <c r="P322" s="47">
        <f ca="1">IF(M322&gt;0,N322*100/M322,0)</f>
        <v>0</v>
      </c>
    </row>
    <row r="323" spans="1:16" ht="18.75" hidden="1" x14ac:dyDescent="0.25">
      <c r="A323" s="136"/>
      <c r="B323" s="41"/>
      <c r="C323" s="41"/>
      <c r="D323" s="42" t="s">
        <v>20</v>
      </c>
      <c r="E323" s="41"/>
      <c r="F323" s="41"/>
      <c r="G323" s="43"/>
      <c r="H323" s="143" t="s">
        <v>12</v>
      </c>
      <c r="I323" s="144"/>
      <c r="J323" s="144"/>
      <c r="K323" s="145"/>
      <c r="L323" s="47">
        <f ca="1">L324+L325</f>
        <v>0</v>
      </c>
      <c r="M323" s="47">
        <f ca="1">M324+M325</f>
        <v>0</v>
      </c>
      <c r="N323" s="47">
        <f ca="1">N324+N325</f>
        <v>0</v>
      </c>
      <c r="O323" s="47">
        <f ca="1">IF(L323&gt;0,N323*100/L323,0)</f>
        <v>0</v>
      </c>
      <c r="P323" s="47">
        <f ca="1">IF(M323&gt;0,N323*100/M323,0)</f>
        <v>0</v>
      </c>
    </row>
    <row r="324" spans="1:16" ht="18.75" hidden="1" x14ac:dyDescent="0.25">
      <c r="A324" s="136"/>
      <c r="B324" s="41"/>
      <c r="C324" s="41"/>
      <c r="D324" s="41"/>
      <c r="E324" s="279" t="s">
        <v>34</v>
      </c>
      <c r="F324" s="41"/>
      <c r="G324" s="43"/>
      <c r="H324" s="146" t="s">
        <v>12</v>
      </c>
      <c r="I324" s="144"/>
      <c r="J324" s="144"/>
      <c r="K324" s="145"/>
      <c r="L324" s="50">
        <v>0</v>
      </c>
      <c r="M324" s="50">
        <v>0</v>
      </c>
      <c r="N324" s="50">
        <v>0</v>
      </c>
      <c r="O324" s="50">
        <f>IF(L324&gt;0,N324*100/L324,0)</f>
        <v>0</v>
      </c>
      <c r="P324" s="50">
        <f>IF(M324&gt;0,N324*100/M324,0)</f>
        <v>0</v>
      </c>
    </row>
    <row r="325" spans="1:16" ht="18.75" hidden="1" x14ac:dyDescent="0.25">
      <c r="A325" s="136"/>
      <c r="B325" s="41"/>
      <c r="C325" s="41"/>
      <c r="D325" s="41"/>
      <c r="E325" s="254" t="s">
        <v>35</v>
      </c>
      <c r="F325" s="41"/>
      <c r="G325" s="43"/>
      <c r="H325" s="143" t="s">
        <v>12</v>
      </c>
      <c r="I325" s="144"/>
      <c r="J325" s="144"/>
      <c r="K325" s="145"/>
      <c r="L325" s="47">
        <f ca="1">IFERROR(__xludf.DUMMYFUNCTION("IMPORTRANGE(""https://docs.google.com/spreadsheets/d/1-uDff_7J0KD5mKrp0Vvzr7lt3OU09vwQwhkpOPPYv2Y/edit?usp=sharing"",""งบพรบ!EI25"")"),0)</f>
        <v>0</v>
      </c>
      <c r="M325" s="47">
        <f ca="1">IFERROR(__xludf.DUMMYFUNCTION("IMPORTRANGE(""https://docs.google.com/spreadsheets/d/1-uDff_7J0KD5mKrp0Vvzr7lt3OU09vwQwhkpOPPYv2Y/edit?usp=sharing"",""งบพรบ!EN25"")"),0)</f>
        <v>0</v>
      </c>
      <c r="N325" s="47">
        <f ca="1">IFERROR(__xludf.DUMMYFUNCTION("IMPORTRANGE(""https://docs.google.com/spreadsheets/d/1-uDff_7J0KD5mKrp0Vvzr7lt3OU09vwQwhkpOPPYv2Y/edit?usp=sharing"",""งบพรบ!EP25"")"),0)</f>
        <v>0</v>
      </c>
      <c r="O325" s="47">
        <f ca="1">IF(L325&gt;0,N325*100/L325,0)</f>
        <v>0</v>
      </c>
      <c r="P325" s="47">
        <f ca="1">IF(M325&gt;0,N325*100/M325,0)</f>
        <v>0</v>
      </c>
    </row>
    <row r="326" spans="1:16" ht="18.75" hidden="1" x14ac:dyDescent="0.25">
      <c r="A326" s="136"/>
      <c r="B326" s="41"/>
      <c r="C326" s="41"/>
      <c r="D326" s="42" t="s">
        <v>21</v>
      </c>
      <c r="E326" s="41"/>
      <c r="F326" s="41"/>
      <c r="G326" s="43"/>
      <c r="H326" s="147" t="s">
        <v>12</v>
      </c>
      <c r="I326" s="144"/>
      <c r="J326" s="144"/>
      <c r="K326" s="145"/>
      <c r="L326" s="47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</row>
    <row r="327" spans="1:16" ht="18.75" hidden="1" x14ac:dyDescent="0.25">
      <c r="A327" s="136"/>
      <c r="B327" s="41"/>
      <c r="C327" s="41"/>
      <c r="D327" s="41"/>
      <c r="E327" s="279" t="s">
        <v>18</v>
      </c>
      <c r="F327" s="41"/>
      <c r="G327" s="43"/>
      <c r="H327" s="146" t="s">
        <v>12</v>
      </c>
      <c r="I327" s="144"/>
      <c r="J327" s="144"/>
      <c r="K327" s="145"/>
      <c r="L327" s="50">
        <v>0</v>
      </c>
      <c r="M327" s="50">
        <v>0</v>
      </c>
      <c r="N327" s="50">
        <v>0</v>
      </c>
      <c r="O327" s="50">
        <f>IF(L327&gt;0,N327*100/L327,0)</f>
        <v>0</v>
      </c>
      <c r="P327" s="50">
        <f>IF(M327&gt;0,N327*100/M327,0)</f>
        <v>0</v>
      </c>
    </row>
    <row r="328" spans="1:16" ht="18.75" hidden="1" x14ac:dyDescent="0.25">
      <c r="A328" s="136"/>
      <c r="B328" s="41"/>
      <c r="C328" s="41"/>
      <c r="D328" s="41"/>
      <c r="E328" s="254" t="s">
        <v>19</v>
      </c>
      <c r="F328" s="41"/>
      <c r="G328" s="43"/>
      <c r="H328" s="147" t="s">
        <v>12</v>
      </c>
      <c r="I328" s="144"/>
      <c r="J328" s="144"/>
      <c r="K328" s="145"/>
      <c r="L328" s="47">
        <f ca="1">IFERROR(__xludf.DUMMYFUNCTION("IMPORTRANGE(""https://docs.google.com/spreadsheets/d/1-uDff_7J0KD5mKrp0Vvzr7lt3OU09vwQwhkpOPPYv2Y/edit?usp=sharing"",""งบพรบ!EL25"")"),0)</f>
        <v>0</v>
      </c>
      <c r="M328" s="47">
        <f ca="1">IFERROR(__xludf.DUMMYFUNCTION("IMPORTRANGE(""https://docs.google.com/spreadsheets/d/1-uDff_7J0KD5mKrp0Vvzr7lt3OU09vwQwhkpOPPYv2Y/edit?usp=sharing"",""งบพรบ!EO25"")"),0)</f>
        <v>0</v>
      </c>
      <c r="N328" s="47">
        <f ca="1">IFERROR(__xludf.DUMMYFUNCTION("IMPORTRANGE(""https://docs.google.com/spreadsheets/d/1-uDff_7J0KD5mKrp0Vvzr7lt3OU09vwQwhkpOPPYv2Y/edit?usp=sharing"",""งบพรบ!EQ25"")"),0)</f>
        <v>0</v>
      </c>
      <c r="O328" s="47">
        <f ca="1">IF(L328&gt;0,N328*100/L328,0)</f>
        <v>0</v>
      </c>
      <c r="P328" s="47">
        <f ca="1">IF(M328&gt;0,N328*100/M328,0)</f>
        <v>0</v>
      </c>
    </row>
    <row r="329" spans="1:16" ht="19.5" hidden="1" x14ac:dyDescent="0.3">
      <c r="A329" s="148"/>
      <c r="B329" s="149"/>
      <c r="C329" s="197" t="s">
        <v>16</v>
      </c>
      <c r="D329" s="395" t="s">
        <v>36</v>
      </c>
      <c r="E329" s="151"/>
      <c r="F329" s="151"/>
      <c r="G329" s="152"/>
      <c r="H329" s="153"/>
      <c r="I329" s="144"/>
      <c r="J329" s="45"/>
      <c r="K329" s="46"/>
      <c r="L329" s="46"/>
      <c r="M329" s="46"/>
      <c r="N329" s="46"/>
      <c r="O329" s="145"/>
      <c r="P329" s="145"/>
    </row>
    <row r="330" spans="1:16" ht="18.75" hidden="1" x14ac:dyDescent="0.25">
      <c r="A330" s="148"/>
      <c r="B330" s="149"/>
      <c r="C330" s="149"/>
      <c r="D330" s="154" t="s">
        <v>128</v>
      </c>
      <c r="E330" s="155"/>
      <c r="F330" s="155"/>
      <c r="G330" s="153"/>
      <c r="H330" s="44" t="s">
        <v>127</v>
      </c>
      <c r="I330" s="169">
        <f ca="1">IFERROR(__xludf.DUMMYFUNCTION("IMPORTRANGE(""https://docs.google.com/spreadsheets/d/1eHaY18a8A9IcSdp1K8H6x8fbOy06t2VsZHhMHf-1x7Y/edit?usp=sharing"",""แผน!EJ25"")"),0)</f>
        <v>0</v>
      </c>
      <c r="J330" s="250">
        <v>0</v>
      </c>
      <c r="K330" s="47">
        <f ca="1">IF(I330&gt;0,J330*100/I330,0)</f>
        <v>0</v>
      </c>
      <c r="L330" s="46"/>
      <c r="M330" s="46"/>
      <c r="N330" s="46"/>
      <c r="O330" s="145"/>
      <c r="P330" s="145"/>
    </row>
    <row r="331" spans="1:16" ht="19.5" x14ac:dyDescent="0.3">
      <c r="A331" s="317" t="s">
        <v>129</v>
      </c>
      <c r="B331" s="318"/>
      <c r="C331" s="318"/>
      <c r="D331" s="319"/>
      <c r="E331" s="318"/>
      <c r="F331" s="318"/>
      <c r="G331" s="318"/>
      <c r="H331" s="319"/>
      <c r="I331" s="321"/>
      <c r="J331" s="321"/>
      <c r="K331" s="322"/>
      <c r="L331" s="322"/>
      <c r="M331" s="322"/>
      <c r="N331" s="322"/>
      <c r="O331" s="322"/>
      <c r="P331" s="322"/>
    </row>
    <row r="332" spans="1:16" ht="19.5" x14ac:dyDescent="0.3">
      <c r="A332" s="323"/>
      <c r="B332" s="324" t="s">
        <v>130</v>
      </c>
      <c r="C332" s="333"/>
      <c r="D332" s="325"/>
      <c r="E332" s="325"/>
      <c r="F332" s="325"/>
      <c r="G332" s="326"/>
      <c r="H332" s="327" t="s">
        <v>33</v>
      </c>
      <c r="I332" s="334">
        <f ca="1">I344</f>
        <v>260</v>
      </c>
      <c r="J332" s="335">
        <f ca="1">J344+J347+J348+J349+J353</f>
        <v>147</v>
      </c>
      <c r="K332" s="336">
        <f ca="1">IF(I332&gt;0,J332*100/I332,0)</f>
        <v>56.53846153846154</v>
      </c>
      <c r="L332" s="330"/>
      <c r="M332" s="330"/>
      <c r="N332" s="330"/>
      <c r="O332" s="330"/>
      <c r="P332" s="330"/>
    </row>
    <row r="333" spans="1:16" ht="19.5" x14ac:dyDescent="0.3">
      <c r="A333" s="136"/>
      <c r="B333" s="41"/>
      <c r="C333" s="197" t="s">
        <v>16</v>
      </c>
      <c r="D333" s="397" t="s">
        <v>17</v>
      </c>
      <c r="E333" s="41"/>
      <c r="F333" s="41"/>
      <c r="G333" s="43"/>
      <c r="H333" s="139" t="s">
        <v>12</v>
      </c>
      <c r="I333" s="45"/>
      <c r="J333" s="45"/>
      <c r="K333" s="46"/>
      <c r="L333" s="140">
        <f ca="1">L334+L335</f>
        <v>105000</v>
      </c>
      <c r="M333" s="140">
        <f ca="1">M334+M335</f>
        <v>83350</v>
      </c>
      <c r="N333" s="140">
        <f ca="1">N334+N335</f>
        <v>29550</v>
      </c>
      <c r="O333" s="140">
        <f ca="1">IF(L333&gt;0,N333*100/L333,0)</f>
        <v>28.142857142857142</v>
      </c>
      <c r="P333" s="140">
        <f ca="1">IF(M333&gt;0,N333*100/M333,0)</f>
        <v>35.452909418116377</v>
      </c>
    </row>
    <row r="334" spans="1:16" ht="18.75" hidden="1" x14ac:dyDescent="0.25">
      <c r="A334" s="136"/>
      <c r="B334" s="41"/>
      <c r="C334" s="41"/>
      <c r="D334" s="41"/>
      <c r="E334" s="279" t="s">
        <v>18</v>
      </c>
      <c r="F334" s="41"/>
      <c r="G334" s="43"/>
      <c r="H334" s="141" t="s">
        <v>12</v>
      </c>
      <c r="I334" s="45"/>
      <c r="J334" s="45"/>
      <c r="K334" s="46"/>
      <c r="L334" s="50">
        <f>L337+L340</f>
        <v>0</v>
      </c>
      <c r="M334" s="50">
        <f>M337+M340</f>
        <v>0</v>
      </c>
      <c r="N334" s="50">
        <f>N337+N340</f>
        <v>0</v>
      </c>
      <c r="O334" s="50">
        <f>IF(L334&gt;0,N334*100/L334,0)</f>
        <v>0</v>
      </c>
      <c r="P334" s="50">
        <f>IF(M334&gt;0,N334*100/M334,0)</f>
        <v>0</v>
      </c>
    </row>
    <row r="335" spans="1:16" ht="18.75" x14ac:dyDescent="0.25">
      <c r="A335" s="136"/>
      <c r="B335" s="41"/>
      <c r="C335" s="41"/>
      <c r="D335" s="41"/>
      <c r="E335" s="254" t="s">
        <v>19</v>
      </c>
      <c r="F335" s="41"/>
      <c r="G335" s="43"/>
      <c r="H335" s="142" t="s">
        <v>12</v>
      </c>
      <c r="I335" s="45"/>
      <c r="J335" s="45"/>
      <c r="K335" s="46"/>
      <c r="L335" s="47">
        <f ca="1">L338+L341</f>
        <v>105000</v>
      </c>
      <c r="M335" s="47">
        <f ca="1">M338+M341</f>
        <v>83350</v>
      </c>
      <c r="N335" s="47">
        <f ca="1">N338+N341</f>
        <v>29550</v>
      </c>
      <c r="O335" s="47">
        <f ca="1">IF(L335&gt;0,N335*100/L335,0)</f>
        <v>28.142857142857142</v>
      </c>
      <c r="P335" s="47">
        <f ca="1">IF(M335&gt;0,N335*100/M335,0)</f>
        <v>35.452909418116377</v>
      </c>
    </row>
    <row r="336" spans="1:16" ht="18.75" x14ac:dyDescent="0.25">
      <c r="A336" s="136"/>
      <c r="B336" s="41"/>
      <c r="C336" s="41"/>
      <c r="D336" s="42" t="s">
        <v>20</v>
      </c>
      <c r="E336" s="41"/>
      <c r="F336" s="41"/>
      <c r="G336" s="43"/>
      <c r="H336" s="143" t="s">
        <v>12</v>
      </c>
      <c r="I336" s="144"/>
      <c r="J336" s="144"/>
      <c r="K336" s="145"/>
      <c r="L336" s="47">
        <f ca="1">L337+L338</f>
        <v>105000</v>
      </c>
      <c r="M336" s="47">
        <f ca="1">M337+M338</f>
        <v>83350</v>
      </c>
      <c r="N336" s="47">
        <f ca="1">N337+N338</f>
        <v>29550</v>
      </c>
      <c r="O336" s="47">
        <f ca="1">IF(L336&gt;0,N336*100/L336,0)</f>
        <v>28.142857142857142</v>
      </c>
      <c r="P336" s="47">
        <f ca="1">IF(M336&gt;0,N336*100/M336,0)</f>
        <v>35.452909418116377</v>
      </c>
    </row>
    <row r="337" spans="1:16" ht="18.75" hidden="1" x14ac:dyDescent="0.25">
      <c r="A337" s="136"/>
      <c r="B337" s="41"/>
      <c r="C337" s="41"/>
      <c r="D337" s="41"/>
      <c r="E337" s="279" t="s">
        <v>34</v>
      </c>
      <c r="F337" s="41"/>
      <c r="G337" s="43"/>
      <c r="H337" s="146" t="s">
        <v>12</v>
      </c>
      <c r="I337" s="144"/>
      <c r="J337" s="144"/>
      <c r="K337" s="145"/>
      <c r="L337" s="50">
        <v>0</v>
      </c>
      <c r="M337" s="50">
        <v>0</v>
      </c>
      <c r="N337" s="50">
        <v>0</v>
      </c>
      <c r="O337" s="50">
        <f>IF(L337&gt;0,N337*100/L337,0)</f>
        <v>0</v>
      </c>
      <c r="P337" s="50">
        <f>IF(M337&gt;0,N337*100/M337,0)</f>
        <v>0</v>
      </c>
    </row>
    <row r="338" spans="1:16" ht="18.75" x14ac:dyDescent="0.25">
      <c r="A338" s="136"/>
      <c r="B338" s="41"/>
      <c r="C338" s="41"/>
      <c r="D338" s="41"/>
      <c r="E338" s="254" t="s">
        <v>35</v>
      </c>
      <c r="F338" s="41"/>
      <c r="G338" s="43"/>
      <c r="H338" s="143" t="s">
        <v>12</v>
      </c>
      <c r="I338" s="144"/>
      <c r="J338" s="144"/>
      <c r="K338" s="145"/>
      <c r="L338" s="47">
        <f ca="1">IFERROR(__xludf.DUMMYFUNCTION("IMPORTRANGE(""https://docs.google.com/spreadsheets/d/1-uDff_7J0KD5mKrp0Vvzr7lt3OU09vwQwhkpOPPYv2Y/edit?usp=sharing"",""งบพรบ!ES25"")"),105000)</f>
        <v>105000</v>
      </c>
      <c r="M338" s="47">
        <f ca="1">IFERROR(__xludf.DUMMYFUNCTION("IMPORTRANGE(""https://docs.google.com/spreadsheets/d/1-uDff_7J0KD5mKrp0Vvzr7lt3OU09vwQwhkpOPPYv2Y/edit?usp=sharing"",""งบพรบ!EX25"")"),83350)</f>
        <v>83350</v>
      </c>
      <c r="N338" s="47">
        <f ca="1">IFERROR(__xludf.DUMMYFUNCTION("IMPORTRANGE(""https://docs.google.com/spreadsheets/d/1-uDff_7J0KD5mKrp0Vvzr7lt3OU09vwQwhkpOPPYv2Y/edit?usp=sharing"",""งบพรบ!EZ25"")"),29550)</f>
        <v>29550</v>
      </c>
      <c r="O338" s="47">
        <f ca="1">IF(L338&gt;0,N338*100/L338,0)</f>
        <v>28.142857142857142</v>
      </c>
      <c r="P338" s="47">
        <f ca="1">IF(M338&gt;0,N338*100/M338,0)</f>
        <v>35.452909418116377</v>
      </c>
    </row>
    <row r="339" spans="1:16" ht="18.75" x14ac:dyDescent="0.25">
      <c r="A339" s="136"/>
      <c r="B339" s="41"/>
      <c r="C339" s="41"/>
      <c r="D339" s="42" t="s">
        <v>21</v>
      </c>
      <c r="E339" s="41"/>
      <c r="F339" s="41"/>
      <c r="G339" s="43"/>
      <c r="H339" s="147" t="s">
        <v>12</v>
      </c>
      <c r="I339" s="144"/>
      <c r="J339" s="144"/>
      <c r="K339" s="145"/>
      <c r="L339" s="47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</row>
    <row r="340" spans="1:16" ht="18.75" hidden="1" x14ac:dyDescent="0.25">
      <c r="A340" s="136"/>
      <c r="B340" s="41"/>
      <c r="C340" s="41"/>
      <c r="D340" s="41"/>
      <c r="E340" s="279" t="s">
        <v>18</v>
      </c>
      <c r="F340" s="41"/>
      <c r="G340" s="43"/>
      <c r="H340" s="146" t="s">
        <v>12</v>
      </c>
      <c r="I340" s="144"/>
      <c r="J340" s="144"/>
      <c r="K340" s="145"/>
      <c r="L340" s="50">
        <v>0</v>
      </c>
      <c r="M340" s="50">
        <v>0</v>
      </c>
      <c r="N340" s="50">
        <v>0</v>
      </c>
      <c r="O340" s="50">
        <f>IF(L340&gt;0,N340*100/L340,0)</f>
        <v>0</v>
      </c>
      <c r="P340" s="50">
        <f>IF(M340&gt;0,N340*100/M340,0)</f>
        <v>0</v>
      </c>
    </row>
    <row r="341" spans="1:16" ht="18.75" x14ac:dyDescent="0.25">
      <c r="A341" s="136"/>
      <c r="B341" s="41"/>
      <c r="C341" s="41"/>
      <c r="D341" s="41"/>
      <c r="E341" s="254" t="s">
        <v>19</v>
      </c>
      <c r="F341" s="41"/>
      <c r="G341" s="43"/>
      <c r="H341" s="147" t="s">
        <v>12</v>
      </c>
      <c r="I341" s="144"/>
      <c r="J341" s="144"/>
      <c r="K341" s="145"/>
      <c r="L341" s="47">
        <f ca="1">IFERROR(__xludf.DUMMYFUNCTION("IMPORTRANGE(""https://docs.google.com/spreadsheets/d/1-uDff_7J0KD5mKrp0Vvzr7lt3OU09vwQwhkpOPPYv2Y/edit?usp=sharing"",""งบพรบ!EV25"")"),0)</f>
        <v>0</v>
      </c>
      <c r="M341" s="47">
        <f ca="1">IFERROR(__xludf.DUMMYFUNCTION("IMPORTRANGE(""https://docs.google.com/spreadsheets/d/1-uDff_7J0KD5mKrp0Vvzr7lt3OU09vwQwhkpOPPYv2Y/edit?usp=sharing"",""งบพรบ!EY25"")"),0)</f>
        <v>0</v>
      </c>
      <c r="N341" s="47">
        <f ca="1">IFERROR(__xludf.DUMMYFUNCTION("IMPORTRANGE(""https://docs.google.com/spreadsheets/d/1-uDff_7J0KD5mKrp0Vvzr7lt3OU09vwQwhkpOPPYv2Y/edit?usp=sharing"",""งบพรบ!FA25"")"),0)</f>
        <v>0</v>
      </c>
      <c r="O341" s="47">
        <f ca="1">IF(L341&gt;0,N341*100/L341,0)</f>
        <v>0</v>
      </c>
      <c r="P341" s="47">
        <f ca="1">IF(M341&gt;0,N341*100/M341,0)</f>
        <v>0</v>
      </c>
    </row>
    <row r="342" spans="1:16" ht="19.5" x14ac:dyDescent="0.3">
      <c r="A342" s="148"/>
      <c r="B342" s="149"/>
      <c r="C342" s="197" t="s">
        <v>16</v>
      </c>
      <c r="D342" s="221" t="s">
        <v>36</v>
      </c>
      <c r="E342" s="151"/>
      <c r="F342" s="151"/>
      <c r="G342" s="152"/>
      <c r="H342" s="43"/>
      <c r="I342" s="45"/>
      <c r="J342" s="45"/>
      <c r="K342" s="46"/>
      <c r="L342" s="46"/>
      <c r="M342" s="46"/>
      <c r="N342" s="46"/>
      <c r="O342" s="145"/>
      <c r="P342" s="145"/>
    </row>
    <row r="343" spans="1:16" ht="19.5" x14ac:dyDescent="0.3">
      <c r="A343" s="337"/>
      <c r="B343" s="338"/>
      <c r="C343" s="339"/>
      <c r="D343" s="338"/>
      <c r="E343" s="398" t="s">
        <v>131</v>
      </c>
      <c r="F343" s="338"/>
      <c r="G343" s="341"/>
      <c r="H343" s="342" t="s">
        <v>33</v>
      </c>
      <c r="I343" s="343">
        <v>0</v>
      </c>
      <c r="J343" s="343">
        <f ca="1">J344+J347+J348+J349</f>
        <v>15</v>
      </c>
      <c r="K343" s="344">
        <v>0</v>
      </c>
      <c r="L343" s="345"/>
      <c r="M343" s="345"/>
      <c r="N343" s="345"/>
      <c r="O343" s="345"/>
      <c r="P343" s="345"/>
    </row>
    <row r="344" spans="1:16" ht="18.75" x14ac:dyDescent="0.25">
      <c r="A344" s="227"/>
      <c r="B344" s="41"/>
      <c r="C344" s="228"/>
      <c r="D344" s="155"/>
      <c r="E344" s="159" t="s">
        <v>132</v>
      </c>
      <c r="F344" s="41"/>
      <c r="G344" s="43"/>
      <c r="H344" s="230" t="s">
        <v>33</v>
      </c>
      <c r="I344" s="169">
        <f ca="1">IFERROR(__xludf.DUMMYFUNCTION("IMPORTRANGE(""https://docs.google.com/spreadsheets/d/1eHaY18a8A9IcSdp1K8H6x8fbOy06t2VsZHhMHf-1x7Y/edit?usp=sharing"",""แผน!EK25"")"),260)</f>
        <v>260</v>
      </c>
      <c r="J344" s="169">
        <f ca="1">IFERROR(__xludf.DUMMYFUNCTION("IMPORTRANGE(""https://docs.google.com/spreadsheets/d/1awYsYK3VOup2i3Pq_Yjnu8DRu_mYwSBnCR2QPthd0rU/edit?usp=sharing"",""ศูนย์ยกเว้นโฉนด!D25"")"),13)</f>
        <v>13</v>
      </c>
      <c r="K344" s="47">
        <f ca="1">IF(I344&gt;0,J344*100/I344,0)</f>
        <v>5</v>
      </c>
      <c r="L344" s="46"/>
      <c r="M344" s="46"/>
      <c r="N344" s="46"/>
      <c r="O344" s="46"/>
      <c r="P344" s="46"/>
    </row>
    <row r="345" spans="1:16" ht="18.75" x14ac:dyDescent="0.25">
      <c r="A345" s="227"/>
      <c r="B345" s="41"/>
      <c r="C345" s="228"/>
      <c r="D345" s="155"/>
      <c r="E345" s="159" t="s">
        <v>133</v>
      </c>
      <c r="F345" s="41"/>
      <c r="G345" s="43"/>
      <c r="H345" s="346"/>
      <c r="I345" s="45"/>
      <c r="J345" s="45"/>
      <c r="K345" s="46"/>
      <c r="L345" s="46"/>
      <c r="M345" s="46"/>
      <c r="N345" s="46"/>
      <c r="O345" s="46"/>
      <c r="P345" s="46"/>
    </row>
    <row r="346" spans="1:16" ht="18.75" x14ac:dyDescent="0.25">
      <c r="A346" s="227"/>
      <c r="B346" s="41"/>
      <c r="C346" s="228"/>
      <c r="D346" s="155"/>
      <c r="E346" s="155"/>
      <c r="F346" s="159" t="s">
        <v>134</v>
      </c>
      <c r="G346" s="43"/>
      <c r="H346" s="347" t="s">
        <v>135</v>
      </c>
      <c r="I346" s="169">
        <f ca="1">IFERROR(__xludf.DUMMYFUNCTION("IMPORTRANGE(""https://docs.google.com/spreadsheets/d/1eHaY18a8A9IcSdp1K8H6x8fbOy06t2VsZHhMHf-1x7Y/edit?usp=sharing"",""แผน!EL25"")"),4)</f>
        <v>4</v>
      </c>
      <c r="J346" s="169">
        <f ca="1">IFERROR(__xludf.DUMMYFUNCTION("IMPORTRANGE(""https://docs.google.com/spreadsheets/d/1awYsYK3VOup2i3Pq_Yjnu8DRu_mYwSBnCR2QPthd0rU/edit?usp=sharing"",""ศูนย์รวม!E25"")"),1)</f>
        <v>1</v>
      </c>
      <c r="K346" s="47">
        <f ca="1">IF(I346&gt;0,J346*100/I346,0)</f>
        <v>25</v>
      </c>
      <c r="L346" s="46"/>
      <c r="M346" s="46"/>
      <c r="N346" s="46"/>
      <c r="O346" s="46"/>
      <c r="P346" s="46"/>
    </row>
    <row r="347" spans="1:16" ht="18.75" x14ac:dyDescent="0.25">
      <c r="A347" s="227"/>
      <c r="B347" s="41"/>
      <c r="C347" s="228"/>
      <c r="D347" s="155"/>
      <c r="E347" s="155"/>
      <c r="F347" s="159" t="s">
        <v>136</v>
      </c>
      <c r="G347" s="43"/>
      <c r="H347" s="347" t="s">
        <v>33</v>
      </c>
      <c r="I347" s="45"/>
      <c r="J347" s="169">
        <f ca="1">IFERROR(__xludf.DUMMYFUNCTION("IMPORTRANGE(""https://docs.google.com/spreadsheets/d/1awYsYK3VOup2i3Pq_Yjnu8DRu_mYwSBnCR2QPthd0rU/edit?usp=sharing"",""ศูนย์ยกเว้นโฉนด!F25"")"),1)</f>
        <v>1</v>
      </c>
      <c r="K347" s="46"/>
      <c r="L347" s="46"/>
      <c r="M347" s="46"/>
      <c r="N347" s="46"/>
      <c r="O347" s="46"/>
      <c r="P347" s="46"/>
    </row>
    <row r="348" spans="1:16" ht="18.75" x14ac:dyDescent="0.25">
      <c r="A348" s="227"/>
      <c r="B348" s="41"/>
      <c r="C348" s="228"/>
      <c r="D348" s="155"/>
      <c r="E348" s="159" t="s">
        <v>137</v>
      </c>
      <c r="F348" s="155"/>
      <c r="G348" s="43"/>
      <c r="H348" s="347" t="s">
        <v>33</v>
      </c>
      <c r="I348" s="45"/>
      <c r="J348" s="169">
        <f ca="1">IFERROR(__xludf.DUMMYFUNCTION("IMPORTRANGE(""https://docs.google.com/spreadsheets/d/1awYsYK3VOup2i3Pq_Yjnu8DRu_mYwSBnCR2QPthd0rU/edit?usp=sharing"",""ศูนย์ยกเว้นโฉนด!G25"")"),1)</f>
        <v>1</v>
      </c>
      <c r="K348" s="46"/>
      <c r="L348" s="46"/>
      <c r="M348" s="46"/>
      <c r="N348" s="46"/>
      <c r="O348" s="46"/>
      <c r="P348" s="46"/>
    </row>
    <row r="349" spans="1:16" ht="18.75" x14ac:dyDescent="0.25">
      <c r="A349" s="227"/>
      <c r="B349" s="41"/>
      <c r="C349" s="228"/>
      <c r="D349" s="149"/>
      <c r="E349" s="159" t="s">
        <v>138</v>
      </c>
      <c r="F349" s="155"/>
      <c r="G349" s="43"/>
      <c r="H349" s="347" t="s">
        <v>33</v>
      </c>
      <c r="I349" s="45"/>
      <c r="J349" s="169">
        <f ca="1">IFERROR(__xludf.DUMMYFUNCTION("IMPORTRANGE(""https://docs.google.com/spreadsheets/d/1awYsYK3VOup2i3Pq_Yjnu8DRu_mYwSBnCR2QPthd0rU/edit?usp=sharing"",""ศูนย์ยกเว้นโฉนด!H25"")"),0)</f>
        <v>0</v>
      </c>
      <c r="K349" s="46"/>
      <c r="L349" s="46"/>
      <c r="M349" s="46"/>
      <c r="N349" s="46"/>
      <c r="O349" s="46"/>
      <c r="P349" s="46"/>
    </row>
    <row r="350" spans="1:16" ht="16.5" x14ac:dyDescent="0.25">
      <c r="A350" s="228"/>
      <c r="B350" s="41"/>
      <c r="C350" s="228"/>
      <c r="D350" s="34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1"/>
      <c r="F350" s="41"/>
      <c r="G350" s="43"/>
      <c r="H350" s="346"/>
      <c r="I350" s="45"/>
      <c r="J350" s="45"/>
      <c r="K350" s="46"/>
      <c r="L350" s="46"/>
      <c r="M350" s="46"/>
      <c r="N350" s="46"/>
      <c r="O350" s="46"/>
      <c r="P350" s="46"/>
    </row>
    <row r="351" spans="1:16" ht="19.5" x14ac:dyDescent="0.3">
      <c r="A351" s="233"/>
      <c r="B351" s="236"/>
      <c r="C351" s="234"/>
      <c r="D351" s="236"/>
      <c r="E351" s="396" t="s">
        <v>139</v>
      </c>
      <c r="F351" s="236"/>
      <c r="G351" s="237"/>
      <c r="H351" s="238" t="s">
        <v>33</v>
      </c>
      <c r="I351" s="239">
        <v>0</v>
      </c>
      <c r="J351" s="239">
        <f ca="1">J352+J353</f>
        <v>133</v>
      </c>
      <c r="K351" s="240">
        <v>0</v>
      </c>
      <c r="L351" s="241"/>
      <c r="M351" s="241"/>
      <c r="N351" s="241"/>
      <c r="O351" s="241"/>
      <c r="P351" s="241"/>
    </row>
    <row r="352" spans="1:16" ht="18.75" x14ac:dyDescent="0.25">
      <c r="A352" s="228"/>
      <c r="B352" s="41"/>
      <c r="C352" s="228"/>
      <c r="D352" s="155"/>
      <c r="E352" s="159" t="s">
        <v>140</v>
      </c>
      <c r="F352" s="41"/>
      <c r="G352" s="43"/>
      <c r="H352" s="142" t="s">
        <v>33</v>
      </c>
      <c r="I352" s="45"/>
      <c r="J352" s="169">
        <f ca="1">IFERROR(__xludf.DUMMYFUNCTION("IMPORTRANGE(""https://docs.google.com/spreadsheets/d/1awYsYK3VOup2i3Pq_Yjnu8DRu_mYwSBnCR2QPthd0rU/edit?usp=sharing"",""โฉนดM3!G25"")"),1)</f>
        <v>1</v>
      </c>
      <c r="K352" s="46"/>
      <c r="L352" s="46"/>
      <c r="M352" s="46"/>
      <c r="N352" s="46"/>
      <c r="O352" s="46"/>
      <c r="P352" s="46"/>
    </row>
    <row r="353" spans="1:16" ht="18.75" x14ac:dyDescent="0.25">
      <c r="A353" s="228"/>
      <c r="B353" s="41"/>
      <c r="C353" s="228"/>
      <c r="D353" s="155"/>
      <c r="E353" s="159" t="s">
        <v>141</v>
      </c>
      <c r="F353" s="41"/>
      <c r="G353" s="43"/>
      <c r="H353" s="142" t="s">
        <v>33</v>
      </c>
      <c r="I353" s="45"/>
      <c r="J353" s="169">
        <f ca="1">IFERROR(__xludf.DUMMYFUNCTION("IMPORTRANGE(""https://docs.google.com/spreadsheets/d/1awYsYK3VOup2i3Pq_Yjnu8DRu_mYwSBnCR2QPthd0rU/edit?usp=sharing"",""โฉนดM3!H25"")"),132)</f>
        <v>132</v>
      </c>
      <c r="K353" s="46"/>
      <c r="L353" s="46"/>
      <c r="M353" s="46"/>
      <c r="N353" s="46"/>
      <c r="O353" s="46"/>
      <c r="P353" s="46"/>
    </row>
    <row r="354" spans="1:16" ht="16.5" x14ac:dyDescent="0.25">
      <c r="A354" s="228"/>
      <c r="B354" s="41"/>
      <c r="C354" s="228"/>
      <c r="D354" s="34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1"/>
      <c r="F354" s="41"/>
      <c r="G354" s="43"/>
      <c r="H354" s="346"/>
      <c r="I354" s="45"/>
      <c r="J354" s="45"/>
      <c r="K354" s="46"/>
      <c r="L354" s="46"/>
      <c r="M354" s="46"/>
      <c r="N354" s="46"/>
      <c r="O354" s="46"/>
      <c r="P354" s="46"/>
    </row>
    <row r="355" spans="1:16" ht="19.5" x14ac:dyDescent="0.3">
      <c r="A355" s="323"/>
      <c r="B355" s="324" t="s">
        <v>142</v>
      </c>
      <c r="C355" s="333"/>
      <c r="D355" s="325"/>
      <c r="E355" s="325"/>
      <c r="F355" s="325"/>
      <c r="G355" s="326"/>
      <c r="H355" s="326"/>
      <c r="I355" s="350"/>
      <c r="J355" s="350"/>
      <c r="K355" s="330"/>
      <c r="L355" s="330"/>
      <c r="M355" s="330"/>
      <c r="N355" s="330"/>
      <c r="O355" s="330"/>
      <c r="P355" s="330"/>
    </row>
    <row r="356" spans="1:16" ht="19.5" x14ac:dyDescent="0.3">
      <c r="A356" s="136"/>
      <c r="B356" s="41"/>
      <c r="C356" s="197" t="s">
        <v>16</v>
      </c>
      <c r="D356" s="397" t="s">
        <v>17</v>
      </c>
      <c r="E356" s="41"/>
      <c r="F356" s="41"/>
      <c r="G356" s="43"/>
      <c r="H356" s="139" t="s">
        <v>12</v>
      </c>
      <c r="I356" s="45"/>
      <c r="J356" s="45"/>
      <c r="K356" s="46"/>
      <c r="L356" s="140">
        <f ca="1">L357+L358</f>
        <v>446775</v>
      </c>
      <c r="M356" s="140">
        <f ca="1">M357+M358</f>
        <v>334575</v>
      </c>
      <c r="N356" s="140">
        <f ca="1">N357+N358</f>
        <v>9000</v>
      </c>
      <c r="O356" s="140">
        <f ca="1">IF(L356&gt;0,N356*100/L356,0)</f>
        <v>2.0144367970454926</v>
      </c>
      <c r="P356" s="140">
        <f ca="1">IF(M356&gt;0,N356*100/M356,0)</f>
        <v>2.6899798251513114</v>
      </c>
    </row>
    <row r="357" spans="1:16" ht="18.75" hidden="1" x14ac:dyDescent="0.25">
      <c r="A357" s="136"/>
      <c r="B357" s="41"/>
      <c r="C357" s="41"/>
      <c r="D357" s="41"/>
      <c r="E357" s="279" t="s">
        <v>18</v>
      </c>
      <c r="F357" s="41"/>
      <c r="G357" s="43"/>
      <c r="H357" s="141" t="s">
        <v>12</v>
      </c>
      <c r="I357" s="45"/>
      <c r="J357" s="45"/>
      <c r="K357" s="46"/>
      <c r="L357" s="50">
        <f>L360+L363</f>
        <v>0</v>
      </c>
      <c r="M357" s="50">
        <f>M360+M363</f>
        <v>0</v>
      </c>
      <c r="N357" s="50">
        <f>N360+N363</f>
        <v>0</v>
      </c>
      <c r="O357" s="50">
        <f>IF(L357&gt;0,N357*100/L357,0)</f>
        <v>0</v>
      </c>
      <c r="P357" s="50">
        <f>IF(M357&gt;0,N357*100/M357,0)</f>
        <v>0</v>
      </c>
    </row>
    <row r="358" spans="1:16" ht="18.75" x14ac:dyDescent="0.25">
      <c r="A358" s="136"/>
      <c r="B358" s="41"/>
      <c r="C358" s="41"/>
      <c r="D358" s="41"/>
      <c r="E358" s="254" t="s">
        <v>19</v>
      </c>
      <c r="F358" s="41"/>
      <c r="G358" s="43"/>
      <c r="H358" s="142" t="s">
        <v>12</v>
      </c>
      <c r="I358" s="45"/>
      <c r="J358" s="45"/>
      <c r="K358" s="46"/>
      <c r="L358" s="47">
        <f ca="1">L361+L364</f>
        <v>446775</v>
      </c>
      <c r="M358" s="47">
        <f ca="1">M361+M364</f>
        <v>334575</v>
      </c>
      <c r="N358" s="47">
        <f ca="1">N361+N364</f>
        <v>9000</v>
      </c>
      <c r="O358" s="47">
        <f ca="1">IF(L358&gt;0,N358*100/L358,0)</f>
        <v>2.0144367970454926</v>
      </c>
      <c r="P358" s="47">
        <f ca="1">IF(M358&gt;0,N358*100/M358,0)</f>
        <v>2.6899798251513114</v>
      </c>
    </row>
    <row r="359" spans="1:16" ht="18.75" x14ac:dyDescent="0.25">
      <c r="A359" s="136"/>
      <c r="B359" s="41"/>
      <c r="C359" s="41"/>
      <c r="D359" s="42" t="s">
        <v>20</v>
      </c>
      <c r="E359" s="41"/>
      <c r="F359" s="41"/>
      <c r="G359" s="43"/>
      <c r="H359" s="143" t="s">
        <v>12</v>
      </c>
      <c r="I359" s="144"/>
      <c r="J359" s="144"/>
      <c r="K359" s="145"/>
      <c r="L359" s="47">
        <f ca="1">L360+L361</f>
        <v>446775</v>
      </c>
      <c r="M359" s="47">
        <f ca="1">M360+M361</f>
        <v>334575</v>
      </c>
      <c r="N359" s="47">
        <f ca="1">N360+N361</f>
        <v>9000</v>
      </c>
      <c r="O359" s="47">
        <f ca="1">IF(L359&gt;0,N359*100/L359,0)</f>
        <v>2.0144367970454926</v>
      </c>
      <c r="P359" s="47">
        <f ca="1">IF(M359&gt;0,N359*100/M359,0)</f>
        <v>2.6899798251513114</v>
      </c>
    </row>
    <row r="360" spans="1:16" ht="18.75" hidden="1" x14ac:dyDescent="0.25">
      <c r="A360" s="136"/>
      <c r="B360" s="41"/>
      <c r="C360" s="41"/>
      <c r="D360" s="41"/>
      <c r="E360" s="279" t="s">
        <v>34</v>
      </c>
      <c r="F360" s="41"/>
      <c r="G360" s="43"/>
      <c r="H360" s="146" t="s">
        <v>12</v>
      </c>
      <c r="I360" s="144"/>
      <c r="J360" s="144"/>
      <c r="K360" s="145"/>
      <c r="L360" s="50">
        <v>0</v>
      </c>
      <c r="M360" s="50">
        <v>0</v>
      </c>
      <c r="N360" s="50">
        <v>0</v>
      </c>
      <c r="O360" s="50">
        <f>IF(L360&gt;0,N360*100/L360,0)</f>
        <v>0</v>
      </c>
      <c r="P360" s="50">
        <f>IF(M360&gt;0,N360*100/M360,0)</f>
        <v>0</v>
      </c>
    </row>
    <row r="361" spans="1:16" ht="18.75" x14ac:dyDescent="0.25">
      <c r="A361" s="136"/>
      <c r="B361" s="41"/>
      <c r="C361" s="41"/>
      <c r="D361" s="41"/>
      <c r="E361" s="254" t="s">
        <v>35</v>
      </c>
      <c r="F361" s="41"/>
      <c r="G361" s="43"/>
      <c r="H361" s="143" t="s">
        <v>12</v>
      </c>
      <c r="I361" s="144"/>
      <c r="J361" s="144"/>
      <c r="K361" s="145"/>
      <c r="L361" s="47">
        <f ca="1">IFERROR(__xludf.DUMMYFUNCTION("IMPORTRANGE(""https://docs.google.com/spreadsheets/d/1-uDff_7J0KD5mKrp0Vvzr7lt3OU09vwQwhkpOPPYv2Y/edit?usp=sharing"",""งบพรบ!FC25"")"),446775)</f>
        <v>446775</v>
      </c>
      <c r="M361" s="47">
        <f ca="1">IFERROR(__xludf.DUMMYFUNCTION("IMPORTRANGE(""https://docs.google.com/spreadsheets/d/1-uDff_7J0KD5mKrp0Vvzr7lt3OU09vwQwhkpOPPYv2Y/edit?usp=sharing"",""งบพรบ!FH25"")"),334575)</f>
        <v>334575</v>
      </c>
      <c r="N361" s="47">
        <f ca="1">IFERROR(__xludf.DUMMYFUNCTION("IMPORTRANGE(""https://docs.google.com/spreadsheets/d/1-uDff_7J0KD5mKrp0Vvzr7lt3OU09vwQwhkpOPPYv2Y/edit?usp=sharing"",""งบพรบ!FJ25"")"),9000)</f>
        <v>9000</v>
      </c>
      <c r="O361" s="47">
        <f ca="1">IF(L361&gt;0,N361*100/L361,0)</f>
        <v>2.0144367970454926</v>
      </c>
      <c r="P361" s="47">
        <f ca="1">IF(M361&gt;0,N361*100/M361,0)</f>
        <v>2.6899798251513114</v>
      </c>
    </row>
    <row r="362" spans="1:16" ht="18.75" x14ac:dyDescent="0.25">
      <c r="A362" s="136"/>
      <c r="B362" s="41"/>
      <c r="C362" s="41"/>
      <c r="D362" s="42" t="s">
        <v>21</v>
      </c>
      <c r="E362" s="41"/>
      <c r="F362" s="41"/>
      <c r="G362" s="43"/>
      <c r="H362" s="147" t="s">
        <v>12</v>
      </c>
      <c r="I362" s="144"/>
      <c r="J362" s="144"/>
      <c r="K362" s="145"/>
      <c r="L362" s="47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</row>
    <row r="363" spans="1:16" ht="18.75" hidden="1" x14ac:dyDescent="0.25">
      <c r="A363" s="136"/>
      <c r="B363" s="41"/>
      <c r="C363" s="41"/>
      <c r="D363" s="41"/>
      <c r="E363" s="279" t="s">
        <v>18</v>
      </c>
      <c r="F363" s="41"/>
      <c r="G363" s="43"/>
      <c r="H363" s="146" t="s">
        <v>12</v>
      </c>
      <c r="I363" s="144"/>
      <c r="J363" s="144"/>
      <c r="K363" s="145"/>
      <c r="L363" s="50">
        <v>0</v>
      </c>
      <c r="M363" s="50">
        <v>0</v>
      </c>
      <c r="N363" s="50">
        <v>0</v>
      </c>
      <c r="O363" s="50">
        <f>IF(L363&gt;0,N363*100/L363,0)</f>
        <v>0</v>
      </c>
      <c r="P363" s="50">
        <f>IF(M363&gt;0,N363*100/M363,0)</f>
        <v>0</v>
      </c>
    </row>
    <row r="364" spans="1:16" ht="18.75" x14ac:dyDescent="0.25">
      <c r="A364" s="136"/>
      <c r="B364" s="41"/>
      <c r="C364" s="41"/>
      <c r="D364" s="41"/>
      <c r="E364" s="254" t="s">
        <v>19</v>
      </c>
      <c r="F364" s="41"/>
      <c r="G364" s="43"/>
      <c r="H364" s="147" t="s">
        <v>12</v>
      </c>
      <c r="I364" s="144"/>
      <c r="J364" s="144"/>
      <c r="K364" s="145"/>
      <c r="L364" s="47">
        <f ca="1">IFERROR(__xludf.DUMMYFUNCTION("IMPORTRANGE(""https://docs.google.com/spreadsheets/d/1-uDff_7J0KD5mKrp0Vvzr7lt3OU09vwQwhkpOPPYv2Y/edit?usp=sharing"",""งบพรบ!FF25"")"),0)</f>
        <v>0</v>
      </c>
      <c r="M364" s="47">
        <f ca="1">IFERROR(__xludf.DUMMYFUNCTION("IMPORTRANGE(""https://docs.google.com/spreadsheets/d/1-uDff_7J0KD5mKrp0Vvzr7lt3OU09vwQwhkpOPPYv2Y/edit?usp=sharing"",""งบพรบ!FI25"")"),0)</f>
        <v>0</v>
      </c>
      <c r="N364" s="47">
        <f ca="1">IFERROR(__xludf.DUMMYFUNCTION("IMPORTRANGE(""https://docs.google.com/spreadsheets/d/1-uDff_7J0KD5mKrp0Vvzr7lt3OU09vwQwhkpOPPYv2Y/edit?usp=sharing"",""งบพรบ!FK25"")"),0)</f>
        <v>0</v>
      </c>
      <c r="O364" s="47">
        <f ca="1">IF(L364&gt;0,N364*100/L364,0)</f>
        <v>0</v>
      </c>
      <c r="P364" s="47">
        <f ca="1">IF(M364&gt;0,N364*100/M364,0)</f>
        <v>0</v>
      </c>
    </row>
    <row r="365" spans="1:16" ht="19.5" x14ac:dyDescent="0.3">
      <c r="A365" s="233"/>
      <c r="B365" s="234"/>
      <c r="C365" s="236"/>
      <c r="D365" s="396" t="s">
        <v>143</v>
      </c>
      <c r="E365" s="236"/>
      <c r="F365" s="236"/>
      <c r="G365" s="237"/>
      <c r="H365" s="245" t="s">
        <v>33</v>
      </c>
      <c r="I365" s="239">
        <f ca="1">I371</f>
        <v>40</v>
      </c>
      <c r="J365" s="239">
        <f ca="1">J371</f>
        <v>3</v>
      </c>
      <c r="K365" s="240">
        <f ca="1">IF(I365&gt;0,J365*100/I365,0)</f>
        <v>7.5</v>
      </c>
      <c r="L365" s="241"/>
      <c r="M365" s="241"/>
      <c r="N365" s="241"/>
      <c r="O365" s="241"/>
      <c r="P365" s="241"/>
    </row>
    <row r="366" spans="1:16" ht="19.5" x14ac:dyDescent="0.3">
      <c r="A366" s="148"/>
      <c r="B366" s="149"/>
      <c r="C366" s="197" t="s">
        <v>16</v>
      </c>
      <c r="D366" s="395" t="s">
        <v>36</v>
      </c>
      <c r="E366" s="151"/>
      <c r="F366" s="151"/>
      <c r="G366" s="152"/>
      <c r="H366" s="153"/>
      <c r="I366" s="45"/>
      <c r="J366" s="45"/>
      <c r="K366" s="46"/>
      <c r="L366" s="145"/>
      <c r="M366" s="145"/>
      <c r="N366" s="145"/>
      <c r="O366" s="145"/>
      <c r="P366" s="145"/>
    </row>
    <row r="367" spans="1:16" ht="18.75" x14ac:dyDescent="0.25">
      <c r="A367" s="148"/>
      <c r="B367" s="155"/>
      <c r="C367" s="149"/>
      <c r="D367" s="155"/>
      <c r="E367" s="154" t="s">
        <v>144</v>
      </c>
      <c r="F367" s="155"/>
      <c r="G367" s="153"/>
      <c r="H367" s="164" t="s">
        <v>33</v>
      </c>
      <c r="I367" s="169">
        <v>0</v>
      </c>
      <c r="J367" s="169">
        <f ca="1">IFERROR(__xludf.DUMMYFUNCTION("IMPORTRANGE(""https://docs.google.com/spreadsheets/d/1tdoBKaGub7dwA3U6UFTqxio9LNnvDCQjHKmttSEBsFQ/edit?usp=sharing"",""จัดที่ดิน!AB25"")"),0)</f>
        <v>0</v>
      </c>
      <c r="K367" s="47">
        <f>IF(I367&gt;0,J367*100/I367,0)</f>
        <v>0</v>
      </c>
      <c r="L367" s="145"/>
      <c r="M367" s="145"/>
      <c r="N367" s="145"/>
      <c r="O367" s="145"/>
      <c r="P367" s="145"/>
    </row>
    <row r="368" spans="1:16" ht="18.75" x14ac:dyDescent="0.25">
      <c r="A368" s="148"/>
      <c r="B368" s="155"/>
      <c r="C368" s="149"/>
      <c r="D368" s="155"/>
      <c r="E368" s="155"/>
      <c r="F368" s="155"/>
      <c r="G368" s="153"/>
      <c r="H368" s="164" t="s">
        <v>44</v>
      </c>
      <c r="I368" s="169">
        <f ca="1">IFERROR(__xludf.DUMMYFUNCTION("IMPORTRANGE(""https://docs.google.com/spreadsheets/d/1eHaY18a8A9IcSdp1K8H6x8fbOy06t2VsZHhMHf-1x7Y/edit?usp=sharing"",""แผน!EW25"")"),235)</f>
        <v>235</v>
      </c>
      <c r="J368" s="351">
        <f ca="1">IFERROR(__xludf.DUMMYFUNCTION("IMPORTRANGE(""https://docs.google.com/spreadsheets/d/1tdoBKaGub7dwA3U6UFTqxio9LNnvDCQjHKmttSEBsFQ/edit?usp=sharing"",""จัดที่ดิน!AC25"")"),0)</f>
        <v>0</v>
      </c>
      <c r="K368" s="47">
        <f ca="1">IF(I368&gt;0,J368*100/I368,0)</f>
        <v>0</v>
      </c>
      <c r="L368" s="145"/>
      <c r="M368" s="145"/>
      <c r="N368" s="145"/>
      <c r="O368" s="145"/>
      <c r="P368" s="145"/>
    </row>
    <row r="369" spans="1:16" ht="18.75" x14ac:dyDescent="0.25">
      <c r="A369" s="148"/>
      <c r="B369" s="155"/>
      <c r="C369" s="149"/>
      <c r="D369" s="155"/>
      <c r="E369" s="154" t="s">
        <v>145</v>
      </c>
      <c r="F369" s="155"/>
      <c r="G369" s="153"/>
      <c r="H369" s="251" t="s">
        <v>33</v>
      </c>
      <c r="I369" s="169">
        <f ca="1">IFERROR(__xludf.DUMMYFUNCTION("IMPORTRANGE(""https://docs.google.com/spreadsheets/d/1eHaY18a8A9IcSdp1K8H6x8fbOy06t2VsZHhMHf-1x7Y/edit?usp=sharing"",""แผน!EX25"")"),59)</f>
        <v>59</v>
      </c>
      <c r="J369" s="169">
        <f ca="1">IFERROR(__xludf.DUMMYFUNCTION("IMPORTRANGE(""https://docs.google.com/spreadsheets/d/1tdoBKaGub7dwA3U6UFTqxio9LNnvDCQjHKmttSEBsFQ/edit?usp=sharing"",""จัดที่ดิน!AD25"")"),3)</f>
        <v>3</v>
      </c>
      <c r="K369" s="47">
        <f ca="1">IF(I369&gt;0,J369*100/I369,0)</f>
        <v>5.0847457627118642</v>
      </c>
      <c r="L369" s="145"/>
      <c r="M369" s="145"/>
      <c r="N369" s="145"/>
      <c r="O369" s="145"/>
      <c r="P369" s="145"/>
    </row>
    <row r="370" spans="1:16" ht="18.75" x14ac:dyDescent="0.25">
      <c r="A370" s="148"/>
      <c r="B370" s="155"/>
      <c r="C370" s="149"/>
      <c r="D370" s="155"/>
      <c r="E370" s="155"/>
      <c r="F370" s="155"/>
      <c r="G370" s="153"/>
      <c r="H370" s="251" t="s">
        <v>44</v>
      </c>
      <c r="I370" s="169">
        <v>0</v>
      </c>
      <c r="J370" s="351">
        <f ca="1">IFERROR(__xludf.DUMMYFUNCTION("IMPORTRANGE(""https://docs.google.com/spreadsheets/d/1tdoBKaGub7dwA3U6UFTqxio9LNnvDCQjHKmttSEBsFQ/edit?usp=sharing"",""จัดที่ดิน!AE25"")"),20.61)</f>
        <v>20.61</v>
      </c>
      <c r="K370" s="47">
        <f>IF(I370&gt;0,J370*100/I370,0)</f>
        <v>0</v>
      </c>
      <c r="L370" s="145"/>
      <c r="M370" s="145"/>
      <c r="N370" s="145"/>
      <c r="O370" s="145"/>
      <c r="P370" s="145"/>
    </row>
    <row r="371" spans="1:16" ht="18.75" x14ac:dyDescent="0.25">
      <c r="A371" s="148"/>
      <c r="B371" s="155"/>
      <c r="C371" s="149"/>
      <c r="D371" s="155"/>
      <c r="E371" s="154" t="s">
        <v>146</v>
      </c>
      <c r="F371" s="155"/>
      <c r="G371" s="153"/>
      <c r="H371" s="251" t="s">
        <v>33</v>
      </c>
      <c r="I371" s="169">
        <f ca="1">IFERROR(__xludf.DUMMYFUNCTION("IMPORTRANGE(""https://docs.google.com/spreadsheets/d/1eHaY18a8A9IcSdp1K8H6x8fbOy06t2VsZHhMHf-1x7Y/edit?usp=sharing"",""แผน!EY25"")"),40)</f>
        <v>40</v>
      </c>
      <c r="J371" s="169">
        <f ca="1">IFERROR(__xludf.DUMMYFUNCTION("IMPORTRANGE(""https://docs.google.com/spreadsheets/d/1tdoBKaGub7dwA3U6UFTqxio9LNnvDCQjHKmttSEBsFQ/edit?usp=sharing"",""จัดที่ดิน!AF25"")"),3)</f>
        <v>3</v>
      </c>
      <c r="K371" s="47">
        <f ca="1">IF(I371&gt;0,J371*100/I371,0)</f>
        <v>7.5</v>
      </c>
      <c r="L371" s="145"/>
      <c r="M371" s="145"/>
      <c r="N371" s="145"/>
      <c r="O371" s="145"/>
      <c r="P371" s="145"/>
    </row>
    <row r="372" spans="1:16" ht="18.75" x14ac:dyDescent="0.25">
      <c r="A372" s="148"/>
      <c r="B372" s="155"/>
      <c r="C372" s="149"/>
      <c r="D372" s="155"/>
      <c r="E372" s="155"/>
      <c r="F372" s="155"/>
      <c r="G372" s="153"/>
      <c r="H372" s="251" t="s">
        <v>44</v>
      </c>
      <c r="I372" s="169">
        <v>0</v>
      </c>
      <c r="J372" s="351">
        <f ca="1">IFERROR(__xludf.DUMMYFUNCTION("IMPORTRANGE(""https://docs.google.com/spreadsheets/d/1tdoBKaGub7dwA3U6UFTqxio9LNnvDCQjHKmttSEBsFQ/edit?usp=sharing"",""จัดที่ดิน!AG25"")"),20.61)</f>
        <v>20.61</v>
      </c>
      <c r="K372" s="47">
        <f>IF(I372&gt;0,J372*100/I372,0)</f>
        <v>0</v>
      </c>
      <c r="L372" s="145"/>
      <c r="M372" s="145"/>
      <c r="N372" s="145"/>
      <c r="O372" s="145"/>
      <c r="P372" s="145"/>
    </row>
    <row r="373" spans="1:16" ht="16.5" x14ac:dyDescent="0.25">
      <c r="A373" s="2"/>
      <c r="B373" s="1"/>
      <c r="C373" s="2"/>
      <c r="D373" s="352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4"/>
      <c r="H373" s="54"/>
      <c r="I373" s="56"/>
      <c r="J373" s="56"/>
      <c r="K373" s="57"/>
      <c r="L373" s="57"/>
      <c r="M373" s="57"/>
      <c r="N373" s="57"/>
      <c r="O373" s="57"/>
      <c r="P373" s="57"/>
    </row>
    <row r="374" spans="1:16" ht="19.5" hidden="1" x14ac:dyDescent="0.3">
      <c r="A374" s="353" t="s">
        <v>147</v>
      </c>
      <c r="B374" s="354"/>
      <c r="C374" s="354"/>
      <c r="D374" s="354"/>
      <c r="E374" s="355"/>
      <c r="F374" s="355"/>
      <c r="G374" s="355"/>
      <c r="H374" s="355"/>
      <c r="I374" s="356"/>
      <c r="J374" s="356"/>
      <c r="K374" s="357"/>
      <c r="L374" s="357"/>
      <c r="M374" s="357"/>
      <c r="N374" s="357"/>
      <c r="O374" s="357"/>
      <c r="P374" s="358"/>
    </row>
    <row r="375" spans="1:16" ht="19.5" hidden="1" x14ac:dyDescent="0.3">
      <c r="A375" s="359" t="s">
        <v>148</v>
      </c>
      <c r="B375" s="360"/>
      <c r="C375" s="360"/>
      <c r="D375" s="361"/>
      <c r="E375" s="360"/>
      <c r="F375" s="360"/>
      <c r="G375" s="360"/>
      <c r="H375" s="362"/>
      <c r="I375" s="363"/>
      <c r="J375" s="363"/>
      <c r="K375" s="364"/>
      <c r="L375" s="364"/>
      <c r="M375" s="364"/>
      <c r="N375" s="364"/>
      <c r="O375" s="364"/>
      <c r="P375" s="364"/>
    </row>
    <row r="376" spans="1:16" ht="19.5" hidden="1" x14ac:dyDescent="0.3">
      <c r="A376" s="365"/>
      <c r="B376" s="366" t="s">
        <v>149</v>
      </c>
      <c r="C376" s="367"/>
      <c r="D376" s="368"/>
      <c r="E376" s="368"/>
      <c r="F376" s="368"/>
      <c r="G376" s="369"/>
      <c r="H376" s="370" t="s">
        <v>54</v>
      </c>
      <c r="I376" s="371">
        <f>I388</f>
        <v>0</v>
      </c>
      <c r="J376" s="371">
        <f>J388</f>
        <v>0</v>
      </c>
      <c r="K376" s="372">
        <f>IF(I376&gt;0,J376*100/I376,0)</f>
        <v>0</v>
      </c>
      <c r="L376" s="373"/>
      <c r="M376" s="373"/>
      <c r="N376" s="373"/>
      <c r="O376" s="373"/>
      <c r="P376" s="373"/>
    </row>
    <row r="377" spans="1:16" ht="19.5" hidden="1" x14ac:dyDescent="0.3">
      <c r="A377" s="136"/>
      <c r="B377" s="41"/>
      <c r="C377" s="260" t="s">
        <v>16</v>
      </c>
      <c r="D377" s="261" t="s">
        <v>17</v>
      </c>
      <c r="E377" s="41"/>
      <c r="F377" s="41"/>
      <c r="G377" s="43"/>
      <c r="H377" s="277" t="s">
        <v>12</v>
      </c>
      <c r="I377" s="45"/>
      <c r="J377" s="45"/>
      <c r="K377" s="46"/>
      <c r="L377" s="263">
        <f ca="1">L378+L379</f>
        <v>0</v>
      </c>
      <c r="M377" s="263">
        <f ca="1">M378+M379</f>
        <v>0</v>
      </c>
      <c r="N377" s="263">
        <f ca="1">N378+N379</f>
        <v>0</v>
      </c>
      <c r="O377" s="263">
        <f ca="1">IF(L377&gt;0,N377*100/L377,0)</f>
        <v>0</v>
      </c>
      <c r="P377" s="263">
        <f ca="1">IF(M377&gt;0,N377*100/M377,0)</f>
        <v>0</v>
      </c>
    </row>
    <row r="378" spans="1:16" ht="18.75" hidden="1" x14ac:dyDescent="0.25">
      <c r="A378" s="136"/>
      <c r="B378" s="41"/>
      <c r="C378" s="41"/>
      <c r="D378" s="41"/>
      <c r="E378" s="279" t="s">
        <v>18</v>
      </c>
      <c r="F378" s="41"/>
      <c r="G378" s="43"/>
      <c r="H378" s="141" t="s">
        <v>12</v>
      </c>
      <c r="I378" s="45"/>
      <c r="J378" s="45"/>
      <c r="K378" s="46"/>
      <c r="L378" s="50">
        <f>L381+L384</f>
        <v>0</v>
      </c>
      <c r="M378" s="50">
        <f>M381+M384</f>
        <v>0</v>
      </c>
      <c r="N378" s="50">
        <f>N381+N384</f>
        <v>0</v>
      </c>
      <c r="O378" s="50">
        <f>IF(L378&gt;0,N378*100/L378,0)</f>
        <v>0</v>
      </c>
      <c r="P378" s="50">
        <f>IF(M378&gt;0,N378*100/M378,0)</f>
        <v>0</v>
      </c>
    </row>
    <row r="379" spans="1:16" ht="18.75" hidden="1" x14ac:dyDescent="0.25">
      <c r="A379" s="136"/>
      <c r="B379" s="41"/>
      <c r="C379" s="41"/>
      <c r="D379" s="41"/>
      <c r="E379" s="279" t="s">
        <v>19</v>
      </c>
      <c r="F379" s="41"/>
      <c r="G379" s="43"/>
      <c r="H379" s="141" t="s">
        <v>12</v>
      </c>
      <c r="I379" s="45"/>
      <c r="J379" s="45"/>
      <c r="K379" s="46"/>
      <c r="L379" s="50">
        <f ca="1">L382+L385</f>
        <v>0</v>
      </c>
      <c r="M379" s="50">
        <f ca="1">M382+M385</f>
        <v>0</v>
      </c>
      <c r="N379" s="50">
        <f ca="1">N382+N385</f>
        <v>0</v>
      </c>
      <c r="O379" s="50">
        <f ca="1">IF(L379&gt;0,N379*100/L379,0)</f>
        <v>0</v>
      </c>
      <c r="P379" s="50">
        <f ca="1">IF(M379&gt;0,N379*100/M379,0)</f>
        <v>0</v>
      </c>
    </row>
    <row r="380" spans="1:16" ht="18.75" hidden="1" x14ac:dyDescent="0.25">
      <c r="A380" s="136"/>
      <c r="B380" s="41"/>
      <c r="C380" s="41"/>
      <c r="D380" s="278" t="s">
        <v>20</v>
      </c>
      <c r="E380" s="41"/>
      <c r="F380" s="41"/>
      <c r="G380" s="43"/>
      <c r="H380" s="146" t="s">
        <v>12</v>
      </c>
      <c r="I380" s="144"/>
      <c r="J380" s="144"/>
      <c r="K380" s="145"/>
      <c r="L380" s="50">
        <f ca="1">L381+L382</f>
        <v>0</v>
      </c>
      <c r="M380" s="50">
        <f ca="1">M381+M382</f>
        <v>0</v>
      </c>
      <c r="N380" s="50">
        <f ca="1">N381+N382</f>
        <v>0</v>
      </c>
      <c r="O380" s="50">
        <f ca="1">IF(L380&gt;0,N380*100/L380,0)</f>
        <v>0</v>
      </c>
      <c r="P380" s="50">
        <f ca="1">IF(M380&gt;0,N380*100/M380,0)</f>
        <v>0</v>
      </c>
    </row>
    <row r="381" spans="1:16" ht="18.75" hidden="1" x14ac:dyDescent="0.25">
      <c r="A381" s="136"/>
      <c r="B381" s="41"/>
      <c r="C381" s="41"/>
      <c r="D381" s="41"/>
      <c r="E381" s="279" t="s">
        <v>34</v>
      </c>
      <c r="F381" s="41"/>
      <c r="G381" s="43"/>
      <c r="H381" s="146" t="s">
        <v>12</v>
      </c>
      <c r="I381" s="144"/>
      <c r="J381" s="144"/>
      <c r="K381" s="145"/>
      <c r="L381" s="50">
        <v>0</v>
      </c>
      <c r="M381" s="50">
        <v>0</v>
      </c>
      <c r="N381" s="50">
        <v>0</v>
      </c>
      <c r="O381" s="50">
        <f>IF(L381&gt;0,N381*100/L381,0)</f>
        <v>0</v>
      </c>
      <c r="P381" s="50">
        <f>IF(M381&gt;0,N381*100/M381,0)</f>
        <v>0</v>
      </c>
    </row>
    <row r="382" spans="1:16" ht="18.75" hidden="1" x14ac:dyDescent="0.25">
      <c r="A382" s="136"/>
      <c r="B382" s="41"/>
      <c r="C382" s="41"/>
      <c r="D382" s="41"/>
      <c r="E382" s="279" t="s">
        <v>35</v>
      </c>
      <c r="F382" s="41"/>
      <c r="G382" s="43"/>
      <c r="H382" s="146" t="s">
        <v>12</v>
      </c>
      <c r="I382" s="144"/>
      <c r="J382" s="144"/>
      <c r="K382" s="145"/>
      <c r="L382" s="50">
        <f ca="1">IFERROR(__xludf.DUMMYFUNCTION("IMPORTRANGE(""https://docs.google.com/spreadsheets/d/1-uDff_7J0KD5mKrp0Vvzr7lt3OU09vwQwhkpOPPYv2Y/edit?usp=sharing"",""งบพรบ!FM25"")"),0)</f>
        <v>0</v>
      </c>
      <c r="M382" s="50">
        <f ca="1">IFERROR(__xludf.DUMMYFUNCTION("IMPORTRANGE(""https://docs.google.com/spreadsheets/d/1-uDff_7J0KD5mKrp0Vvzr7lt3OU09vwQwhkpOPPYv2Y/edit?usp=sharing"",""งบพรบ!FR25"")"),0)</f>
        <v>0</v>
      </c>
      <c r="N382" s="50">
        <f ca="1">IFERROR(__xludf.DUMMYFUNCTION("IMPORTRANGE(""https://docs.google.com/spreadsheets/d/1-uDff_7J0KD5mKrp0Vvzr7lt3OU09vwQwhkpOPPYv2Y/edit?usp=sharing"",""งบพรบ!FT25"")"),0)</f>
        <v>0</v>
      </c>
      <c r="O382" s="50">
        <f ca="1">IF(L382&gt;0,N382*100/L382,0)</f>
        <v>0</v>
      </c>
      <c r="P382" s="50">
        <f ca="1">IF(M382&gt;0,N382*100/M382,0)</f>
        <v>0</v>
      </c>
    </row>
    <row r="383" spans="1:16" ht="18.75" hidden="1" x14ac:dyDescent="0.25">
      <c r="A383" s="136"/>
      <c r="B383" s="41"/>
      <c r="C383" s="41"/>
      <c r="D383" s="278" t="s">
        <v>21</v>
      </c>
      <c r="E383" s="41"/>
      <c r="F383" s="41"/>
      <c r="G383" s="43"/>
      <c r="H383" s="199" t="s">
        <v>12</v>
      </c>
      <c r="I383" s="144"/>
      <c r="J383" s="144"/>
      <c r="K383" s="145"/>
      <c r="L383" s="50">
        <f ca="1">L384+L385</f>
        <v>0</v>
      </c>
      <c r="M383" s="50">
        <f ca="1">M384+M385</f>
        <v>0</v>
      </c>
      <c r="N383" s="50">
        <f ca="1">N384+N385</f>
        <v>0</v>
      </c>
      <c r="O383" s="50">
        <f ca="1">IF(L383&gt;0,N383*100/L383,0)</f>
        <v>0</v>
      </c>
      <c r="P383" s="50">
        <f ca="1">IF(M383&gt;0,N383*100/M383,0)</f>
        <v>0</v>
      </c>
    </row>
    <row r="384" spans="1:16" ht="18.75" hidden="1" x14ac:dyDescent="0.25">
      <c r="A384" s="136"/>
      <c r="B384" s="41"/>
      <c r="C384" s="41"/>
      <c r="D384" s="41"/>
      <c r="E384" s="279" t="s">
        <v>18</v>
      </c>
      <c r="F384" s="41"/>
      <c r="G384" s="43"/>
      <c r="H384" s="146" t="s">
        <v>12</v>
      </c>
      <c r="I384" s="144"/>
      <c r="J384" s="144"/>
      <c r="K384" s="145"/>
      <c r="L384" s="50">
        <v>0</v>
      </c>
      <c r="M384" s="50">
        <v>0</v>
      </c>
      <c r="N384" s="50">
        <v>0</v>
      </c>
      <c r="O384" s="50">
        <f>IF(L384&gt;0,N384*100/L384,0)</f>
        <v>0</v>
      </c>
      <c r="P384" s="50">
        <f>IF(M384&gt;0,N384*100/M384,0)</f>
        <v>0</v>
      </c>
    </row>
    <row r="385" spans="1:16" ht="18.75" hidden="1" x14ac:dyDescent="0.25">
      <c r="A385" s="136"/>
      <c r="B385" s="41"/>
      <c r="C385" s="41"/>
      <c r="D385" s="41"/>
      <c r="E385" s="279" t="s">
        <v>19</v>
      </c>
      <c r="F385" s="41"/>
      <c r="G385" s="43"/>
      <c r="H385" s="199" t="s">
        <v>12</v>
      </c>
      <c r="I385" s="144"/>
      <c r="J385" s="144"/>
      <c r="K385" s="145"/>
      <c r="L385" s="50">
        <f ca="1">IFERROR(__xludf.DUMMYFUNCTION("IMPORTRANGE(""https://docs.google.com/spreadsheets/d/1-uDff_7J0KD5mKrp0Vvzr7lt3OU09vwQwhkpOPPYv2Y/edit?usp=sharing"",""งบพรบ!FP25"")"),0)</f>
        <v>0</v>
      </c>
      <c r="M385" s="50">
        <f ca="1">IFERROR(__xludf.DUMMYFUNCTION("IMPORTRANGE(""https://docs.google.com/spreadsheets/d/1-uDff_7J0KD5mKrp0Vvzr7lt3OU09vwQwhkpOPPYv2Y/edit?usp=sharing"",""งบพรบ!FS25"")"),0)</f>
        <v>0</v>
      </c>
      <c r="N385" s="50">
        <f ca="1">IFERROR(__xludf.DUMMYFUNCTION("IMPORTRANGE(""https://docs.google.com/spreadsheets/d/1-uDff_7J0KD5mKrp0Vvzr7lt3OU09vwQwhkpOPPYv2Y/edit?usp=sharing"",""งบพรบ!FU25"")"),0)</f>
        <v>0</v>
      </c>
      <c r="O385" s="50">
        <f ca="1">IF(L385&gt;0,N385*100/L385,0)</f>
        <v>0</v>
      </c>
      <c r="P385" s="50">
        <f ca="1">IF(M385&gt;0,N385*100/M385,0)</f>
        <v>0</v>
      </c>
    </row>
    <row r="386" spans="1:16" ht="19.5" hidden="1" x14ac:dyDescent="0.3">
      <c r="A386" s="148"/>
      <c r="B386" s="149"/>
      <c r="C386" s="260" t="s">
        <v>16</v>
      </c>
      <c r="D386" s="394" t="s">
        <v>36</v>
      </c>
      <c r="E386" s="151"/>
      <c r="F386" s="151"/>
      <c r="G386" s="152"/>
      <c r="H386" s="153"/>
      <c r="I386" s="144"/>
      <c r="J386" s="45"/>
      <c r="K386" s="46"/>
      <c r="L386" s="46"/>
      <c r="M386" s="46"/>
      <c r="N386" s="46"/>
      <c r="O386" s="145"/>
      <c r="P386" s="145"/>
    </row>
    <row r="387" spans="1:16" ht="18.75" hidden="1" x14ac:dyDescent="0.25">
      <c r="A387" s="227"/>
      <c r="B387" s="41"/>
      <c r="C387" s="228"/>
      <c r="D387" s="267" t="s">
        <v>150</v>
      </c>
      <c r="E387" s="149"/>
      <c r="F387" s="41"/>
      <c r="G387" s="43"/>
      <c r="H387" s="232" t="s">
        <v>9</v>
      </c>
      <c r="I387" s="200">
        <v>0</v>
      </c>
      <c r="J387" s="201">
        <v>0</v>
      </c>
      <c r="K387" s="50">
        <f>IF(I387&gt;0,J387*100/I387,0)</f>
        <v>0</v>
      </c>
      <c r="L387" s="46"/>
      <c r="M387" s="46"/>
      <c r="N387" s="46"/>
      <c r="O387" s="46"/>
      <c r="P387" s="46"/>
    </row>
    <row r="388" spans="1:16" ht="18.75" hidden="1" x14ac:dyDescent="0.25">
      <c r="A388" s="374"/>
      <c r="B388" s="1"/>
      <c r="C388" s="2"/>
      <c r="D388" s="375" t="s">
        <v>151</v>
      </c>
      <c r="E388" s="281"/>
      <c r="F388" s="1"/>
      <c r="G388" s="54"/>
      <c r="H388" s="376" t="s">
        <v>54</v>
      </c>
      <c r="I388" s="205">
        <v>0</v>
      </c>
      <c r="J388" s="206">
        <v>0</v>
      </c>
      <c r="K388" s="207">
        <f>IF(I388&gt;0,J388*100/I388,0)</f>
        <v>0</v>
      </c>
      <c r="L388" s="57"/>
      <c r="M388" s="57"/>
      <c r="N388" s="57"/>
      <c r="O388" s="57"/>
      <c r="P388" s="57"/>
    </row>
    <row r="389" spans="1:16" ht="12.75" x14ac:dyDescent="0.2">
      <c r="A389" s="168"/>
      <c r="B389" s="168"/>
      <c r="C389" s="168"/>
      <c r="D389" s="168"/>
      <c r="E389" s="168"/>
      <c r="F389" s="168"/>
      <c r="G389" s="168"/>
      <c r="H389" s="168"/>
      <c r="I389" s="168"/>
      <c r="J389" s="168"/>
      <c r="K389" s="168"/>
      <c r="L389" s="168"/>
      <c r="M389" s="168"/>
      <c r="N389" s="168"/>
      <c r="O389" s="168"/>
      <c r="P389" s="168"/>
    </row>
    <row r="390" spans="1:16" ht="16.5" x14ac:dyDescent="0.25">
      <c r="A390" s="377" t="s">
        <v>152</v>
      </c>
      <c r="B390" s="168"/>
      <c r="C390" s="168"/>
      <c r="D390" s="168"/>
      <c r="E390" s="168"/>
      <c r="F390" s="168"/>
      <c r="G390" s="168"/>
      <c r="H390" s="168"/>
      <c r="I390" s="168"/>
      <c r="J390" s="168"/>
      <c r="K390" s="168"/>
      <c r="L390" s="168"/>
      <c r="M390" s="168"/>
      <c r="N390" s="168"/>
      <c r="O390" s="168"/>
      <c r="P390" s="168"/>
    </row>
    <row r="391" spans="1:16" ht="16.5" x14ac:dyDescent="0.25">
      <c r="A391" s="377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8"/>
      <c r="C391" s="168"/>
      <c r="D391" s="168"/>
      <c r="E391" s="168"/>
      <c r="F391" s="168"/>
      <c r="G391" s="168"/>
      <c r="H391" s="168"/>
      <c r="I391" s="168"/>
      <c r="J391" s="168"/>
      <c r="K391" s="168"/>
      <c r="L391" s="168"/>
      <c r="M391" s="168"/>
      <c r="N391" s="168"/>
      <c r="O391" s="168"/>
      <c r="P391" s="16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2" orientation="portrait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B16C-BC90-4E12-8B09-A9E14E60A216}">
  <sheetPr>
    <outlinePr summaryBelow="0" summaryRight="0"/>
  </sheetPr>
  <dimension ref="A1:P391"/>
  <sheetViews>
    <sheetView view="pageBreakPreview" zoomScale="60" zoomScaleNormal="68" workbookViewId="0">
      <pane xSplit="8" ySplit="6" topLeftCell="I7" activePane="bottomRight" state="frozen"/>
      <selection activeCell="P44" sqref="P44"/>
      <selection pane="topRight" activeCell="P44" sqref="P44"/>
      <selection pane="bottomLeft" activeCell="P44" sqref="P44"/>
      <selection pane="bottomRight" activeCell="P44" sqref="P4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3" width="21.5703125" bestFit="1" customWidth="1"/>
    <col min="14" max="14" width="19" bestFit="1" customWidth="1"/>
    <col min="15" max="15" width="17.5703125" customWidth="1"/>
    <col min="16" max="16" width="22.42578125" bestFit="1" customWidth="1"/>
  </cols>
  <sheetData>
    <row r="1" spans="1:16" ht="19.5" x14ac:dyDescent="0.3">
      <c r="A1" s="386" t="s">
        <v>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</row>
    <row r="2" spans="1:16" ht="19.5" x14ac:dyDescent="0.3">
      <c r="A2" s="386" t="s">
        <v>169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</row>
    <row r="3" spans="1:16" ht="19.5" x14ac:dyDescent="0.3">
      <c r="A3" s="386" t="s">
        <v>175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388" t="s">
        <v>2</v>
      </c>
      <c r="B5" s="387"/>
      <c r="C5" s="387"/>
      <c r="D5" s="387"/>
      <c r="E5" s="387"/>
      <c r="F5" s="387"/>
      <c r="G5" s="389"/>
      <c r="H5" s="4" t="s">
        <v>3</v>
      </c>
      <c r="I5" s="391" t="s">
        <v>4</v>
      </c>
      <c r="J5" s="379"/>
      <c r="K5" s="380"/>
      <c r="L5" s="392" t="s">
        <v>5</v>
      </c>
      <c r="M5" s="380"/>
      <c r="N5" s="393" t="s">
        <v>6</v>
      </c>
      <c r="O5" s="379"/>
      <c r="P5" s="380"/>
    </row>
    <row r="6" spans="1:16" ht="19.5" x14ac:dyDescent="0.3">
      <c r="A6" s="390"/>
      <c r="B6" s="379"/>
      <c r="C6" s="379"/>
      <c r="D6" s="379"/>
      <c r="E6" s="379"/>
      <c r="F6" s="379"/>
      <c r="G6" s="380"/>
      <c r="H6" s="5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466" t="s">
        <v>14</v>
      </c>
    </row>
    <row r="7" spans="1:16" ht="12.75" hidden="1" x14ac:dyDescent="0.2">
      <c r="A7" s="381"/>
      <c r="B7" s="379"/>
      <c r="C7" s="379"/>
      <c r="D7" s="379"/>
      <c r="E7" s="379"/>
      <c r="F7" s="379"/>
      <c r="G7" s="380"/>
      <c r="H7" s="12"/>
      <c r="I7" s="13"/>
      <c r="J7" s="13"/>
      <c r="K7" s="14"/>
      <c r="L7" s="14"/>
      <c r="M7" s="14"/>
      <c r="N7" s="14"/>
      <c r="O7" s="14"/>
      <c r="P7" s="14"/>
    </row>
    <row r="8" spans="1:16" ht="12.75" hidden="1" x14ac:dyDescent="0.2">
      <c r="A8" s="15"/>
      <c r="B8" s="16"/>
      <c r="C8" s="16"/>
      <c r="D8" s="16"/>
      <c r="E8" s="16"/>
      <c r="F8" s="16"/>
      <c r="G8" s="17"/>
      <c r="H8" s="17"/>
      <c r="I8" s="18"/>
      <c r="J8" s="18"/>
      <c r="K8" s="19"/>
      <c r="L8" s="19"/>
      <c r="M8" s="19"/>
      <c r="N8" s="19"/>
      <c r="O8" s="19"/>
      <c r="P8" s="19"/>
    </row>
    <row r="9" spans="1:16" ht="12.75" hidden="1" x14ac:dyDescent="0.2">
      <c r="A9" s="15"/>
      <c r="B9" s="16"/>
      <c r="C9" s="16"/>
      <c r="D9" s="16"/>
      <c r="E9" s="16"/>
      <c r="F9" s="16"/>
      <c r="G9" s="17"/>
      <c r="H9" s="17"/>
      <c r="I9" s="18"/>
      <c r="J9" s="18"/>
      <c r="K9" s="19"/>
      <c r="L9" s="19"/>
      <c r="M9" s="19"/>
      <c r="N9" s="19"/>
      <c r="O9" s="19"/>
      <c r="P9" s="19"/>
    </row>
    <row r="10" spans="1:16" ht="12.75" hidden="1" x14ac:dyDescent="0.2">
      <c r="A10" s="15"/>
      <c r="B10" s="16"/>
      <c r="C10" s="16"/>
      <c r="D10" s="16"/>
      <c r="E10" s="16"/>
      <c r="F10" s="16"/>
      <c r="G10" s="17"/>
      <c r="H10" s="17"/>
      <c r="I10" s="18"/>
      <c r="J10" s="18"/>
      <c r="K10" s="19"/>
      <c r="L10" s="19"/>
      <c r="M10" s="19"/>
      <c r="N10" s="19"/>
      <c r="O10" s="19"/>
      <c r="P10" s="19"/>
    </row>
    <row r="11" spans="1:16" ht="12.75" hidden="1" x14ac:dyDescent="0.2">
      <c r="A11" s="15"/>
      <c r="B11" s="16"/>
      <c r="C11" s="16"/>
      <c r="D11" s="16"/>
      <c r="E11" s="16"/>
      <c r="F11" s="16"/>
      <c r="G11" s="17"/>
      <c r="H11" s="17"/>
      <c r="I11" s="18"/>
      <c r="J11" s="18"/>
      <c r="K11" s="19"/>
      <c r="L11" s="19"/>
      <c r="M11" s="19"/>
      <c r="N11" s="19"/>
      <c r="O11" s="19"/>
      <c r="P11" s="19"/>
    </row>
    <row r="12" spans="1:16" ht="12.75" hidden="1" x14ac:dyDescent="0.2">
      <c r="A12" s="15"/>
      <c r="B12" s="16"/>
      <c r="C12" s="16"/>
      <c r="D12" s="16"/>
      <c r="E12" s="16"/>
      <c r="F12" s="16"/>
      <c r="G12" s="17"/>
      <c r="H12" s="17"/>
      <c r="I12" s="18"/>
      <c r="J12" s="18"/>
      <c r="K12" s="19"/>
      <c r="L12" s="19"/>
      <c r="M12" s="19"/>
      <c r="N12" s="19"/>
      <c r="O12" s="19"/>
      <c r="P12" s="19"/>
    </row>
    <row r="13" spans="1:16" ht="12.75" hidden="1" x14ac:dyDescent="0.2">
      <c r="A13" s="15"/>
      <c r="B13" s="16"/>
      <c r="C13" s="16"/>
      <c r="D13" s="16"/>
      <c r="E13" s="16"/>
      <c r="F13" s="16"/>
      <c r="G13" s="17"/>
      <c r="H13" s="17"/>
      <c r="I13" s="18"/>
      <c r="J13" s="18"/>
      <c r="K13" s="19"/>
      <c r="L13" s="19"/>
      <c r="M13" s="19"/>
      <c r="N13" s="19"/>
      <c r="O13" s="19"/>
      <c r="P13" s="19"/>
    </row>
    <row r="14" spans="1:16" ht="12.75" hidden="1" x14ac:dyDescent="0.2">
      <c r="A14" s="15"/>
      <c r="B14" s="16"/>
      <c r="C14" s="16"/>
      <c r="D14" s="16"/>
      <c r="E14" s="16"/>
      <c r="F14" s="16"/>
      <c r="G14" s="17"/>
      <c r="H14" s="17"/>
      <c r="I14" s="18"/>
      <c r="J14" s="18"/>
      <c r="K14" s="19"/>
      <c r="L14" s="19"/>
      <c r="M14" s="19"/>
      <c r="N14" s="19"/>
      <c r="O14" s="19"/>
      <c r="P14" s="19"/>
    </row>
    <row r="15" spans="1:16" ht="12.75" hidden="1" x14ac:dyDescent="0.2">
      <c r="A15" s="15"/>
      <c r="B15" s="16"/>
      <c r="C15" s="16"/>
      <c r="D15" s="16"/>
      <c r="E15" s="16"/>
      <c r="F15" s="16"/>
      <c r="G15" s="17"/>
      <c r="H15" s="17"/>
      <c r="I15" s="18"/>
      <c r="J15" s="18"/>
      <c r="K15" s="19"/>
      <c r="L15" s="19"/>
      <c r="M15" s="19"/>
      <c r="N15" s="19"/>
      <c r="O15" s="19"/>
      <c r="P15" s="19"/>
    </row>
    <row r="16" spans="1:16" ht="12.75" hidden="1" x14ac:dyDescent="0.2">
      <c r="A16" s="20"/>
      <c r="B16" s="21"/>
      <c r="C16" s="21"/>
      <c r="D16" s="21"/>
      <c r="E16" s="21"/>
      <c r="F16" s="21"/>
      <c r="G16" s="12"/>
      <c r="H16" s="12"/>
      <c r="I16" s="13"/>
      <c r="J16" s="13"/>
      <c r="K16" s="14"/>
      <c r="L16" s="14"/>
      <c r="M16" s="14"/>
      <c r="N16" s="14"/>
      <c r="O16" s="14"/>
      <c r="P16" s="14"/>
    </row>
    <row r="17" spans="1:16" ht="19.5" x14ac:dyDescent="0.3">
      <c r="A17" s="378" t="s">
        <v>15</v>
      </c>
      <c r="B17" s="379"/>
      <c r="C17" s="379"/>
      <c r="D17" s="379"/>
      <c r="E17" s="379"/>
      <c r="F17" s="379"/>
      <c r="G17" s="380"/>
      <c r="H17" s="22"/>
      <c r="I17" s="23"/>
      <c r="J17" s="23"/>
      <c r="K17" s="24"/>
      <c r="L17" s="24"/>
      <c r="M17" s="24"/>
      <c r="N17" s="24"/>
      <c r="O17" s="24"/>
      <c r="P17" s="24"/>
    </row>
    <row r="18" spans="1:16" ht="19.5" x14ac:dyDescent="0.3">
      <c r="A18" s="25"/>
      <c r="B18" s="26"/>
      <c r="C18" s="132" t="s">
        <v>16</v>
      </c>
      <c r="D18" s="28" t="s">
        <v>17</v>
      </c>
      <c r="E18" s="26"/>
      <c r="F18" s="26"/>
      <c r="G18" s="29"/>
      <c r="H18" s="30" t="s">
        <v>12</v>
      </c>
      <c r="I18" s="31"/>
      <c r="J18" s="31"/>
      <c r="K18" s="32"/>
      <c r="L18" s="33">
        <f ca="1">L19+L20</f>
        <v>1866805</v>
      </c>
      <c r="M18" s="33">
        <f ca="1">M19+M20</f>
        <v>1579165</v>
      </c>
      <c r="N18" s="33">
        <f ca="1">N19+N20</f>
        <v>522025.5</v>
      </c>
      <c r="O18" s="33">
        <f ca="1">IF(L18&gt;0,N18*100/L18,0)</f>
        <v>27.963579484734613</v>
      </c>
      <c r="P18" s="33">
        <f ca="1">IF(M18&gt;0,N18*100/M18,0)</f>
        <v>33.057058635418088</v>
      </c>
    </row>
    <row r="19" spans="1:16" ht="18.75" hidden="1" x14ac:dyDescent="0.25">
      <c r="A19" s="25"/>
      <c r="B19" s="26"/>
      <c r="C19" s="26"/>
      <c r="D19" s="26"/>
      <c r="E19" s="34" t="s">
        <v>18</v>
      </c>
      <c r="F19" s="26"/>
      <c r="G19" s="29"/>
      <c r="H19" s="35" t="s">
        <v>12</v>
      </c>
      <c r="I19" s="31"/>
      <c r="J19" s="31"/>
      <c r="K19" s="32"/>
      <c r="L19" s="36">
        <f>L22+L25</f>
        <v>0</v>
      </c>
      <c r="M19" s="36">
        <f>M22+M25</f>
        <v>0</v>
      </c>
      <c r="N19" s="36">
        <f>N22+N25</f>
        <v>0</v>
      </c>
      <c r="O19" s="36">
        <f>IF(L19&gt;0,N19*100/L19,0)</f>
        <v>0</v>
      </c>
      <c r="P19" s="36">
        <f>IF(M19&gt;0,N19*100/M19,0)</f>
        <v>0</v>
      </c>
    </row>
    <row r="20" spans="1:16" ht="18.75" x14ac:dyDescent="0.25">
      <c r="A20" s="25"/>
      <c r="B20" s="26"/>
      <c r="C20" s="26"/>
      <c r="D20" s="26"/>
      <c r="E20" s="37" t="s">
        <v>19</v>
      </c>
      <c r="F20" s="26"/>
      <c r="G20" s="29"/>
      <c r="H20" s="38" t="s">
        <v>12</v>
      </c>
      <c r="I20" s="31"/>
      <c r="J20" s="31"/>
      <c r="K20" s="32"/>
      <c r="L20" s="39">
        <f ca="1">L23+L26</f>
        <v>1866805</v>
      </c>
      <c r="M20" s="39">
        <f ca="1">M23+M26</f>
        <v>1579165</v>
      </c>
      <c r="N20" s="39">
        <f ca="1">N23+N26</f>
        <v>522025.5</v>
      </c>
      <c r="O20" s="39">
        <f ca="1">IF(L20&gt;0,N20*100/L20,0)</f>
        <v>27.963579484734613</v>
      </c>
      <c r="P20" s="39">
        <f ca="1">IF(M20&gt;0,N20*100/M20,0)</f>
        <v>33.057058635418088</v>
      </c>
    </row>
    <row r="21" spans="1:16" ht="18.75" x14ac:dyDescent="0.25">
      <c r="A21" s="40"/>
      <c r="B21" s="41"/>
      <c r="C21" s="41"/>
      <c r="D21" s="42" t="s">
        <v>20</v>
      </c>
      <c r="E21" s="41"/>
      <c r="F21" s="41"/>
      <c r="G21" s="43"/>
      <c r="H21" s="44" t="s">
        <v>12</v>
      </c>
      <c r="I21" s="45"/>
      <c r="J21" s="45"/>
      <c r="K21" s="46"/>
      <c r="L21" s="47">
        <f ca="1">L22+L23</f>
        <v>1866805</v>
      </c>
      <c r="M21" s="47">
        <f ca="1">M22+M23</f>
        <v>1579165</v>
      </c>
      <c r="N21" s="47">
        <f ca="1">N22+N23</f>
        <v>522025.5</v>
      </c>
      <c r="O21" s="47">
        <f ca="1">IF(L21&gt;0,N21*100/L21,0)</f>
        <v>27.963579484734613</v>
      </c>
      <c r="P21" s="47">
        <f ca="1">IF(M21&gt;0,N21*100/M21,0)</f>
        <v>33.057058635418088</v>
      </c>
    </row>
    <row r="22" spans="1:16" ht="18.75" hidden="1" x14ac:dyDescent="0.25">
      <c r="A22" s="40"/>
      <c r="B22" s="41"/>
      <c r="C22" s="41"/>
      <c r="D22" s="41"/>
      <c r="E22" s="279" t="s">
        <v>18</v>
      </c>
      <c r="F22" s="41"/>
      <c r="G22" s="43"/>
      <c r="H22" s="49" t="s">
        <v>12</v>
      </c>
      <c r="I22" s="45"/>
      <c r="J22" s="45"/>
      <c r="K22" s="46"/>
      <c r="L22" s="50">
        <f>L48+L63+L76+L98+L129+L143+L161+L190+L177+L270+L286+L307+L324+L337+L360+L381</f>
        <v>0</v>
      </c>
      <c r="M22" s="50">
        <f>M48+M63+M76+M98+M129+M143+M161+M190+M177+M270+M286+M307+M324+M337+M360+M381</f>
        <v>0</v>
      </c>
      <c r="N22" s="50">
        <f>N48+N63+N76+N98+N129+N143+N161+N190+N177+N270+N286+N307+N324+N337+N360+N381</f>
        <v>0</v>
      </c>
      <c r="O22" s="50">
        <f>IF(L22&gt;0,N22*100/L22,0)</f>
        <v>0</v>
      </c>
      <c r="P22" s="50">
        <f>IF(M22&gt;0,N22*100/M22,0)</f>
        <v>0</v>
      </c>
    </row>
    <row r="23" spans="1:16" ht="18.75" x14ac:dyDescent="0.25">
      <c r="A23" s="40"/>
      <c r="B23" s="41"/>
      <c r="C23" s="41"/>
      <c r="D23" s="41"/>
      <c r="E23" s="254" t="s">
        <v>19</v>
      </c>
      <c r="F23" s="41"/>
      <c r="G23" s="43"/>
      <c r="H23" s="44" t="s">
        <v>12</v>
      </c>
      <c r="I23" s="45"/>
      <c r="J23" s="45"/>
      <c r="K23" s="46"/>
      <c r="L23" s="47">
        <f ca="1">L49+L64+L77+L99+L130+L144+L162+L191+L178+L271+L287+L308+L325+L338+L361+L382</f>
        <v>1866805</v>
      </c>
      <c r="M23" s="47">
        <f ca="1">M49+M64+M77+M99+M130+M144+M162+M191+M178+M271+M287+M308+M325+M338+M361+M382</f>
        <v>1579165</v>
      </c>
      <c r="N23" s="47">
        <f ca="1">N49+N64+N77+N99+N130+N144+N162+N191+N178+N271+N287+N308+N325+N338+N361+N382</f>
        <v>522025.5</v>
      </c>
      <c r="O23" s="47">
        <f ca="1">IF(L23&gt;0,N23*100/L23,0)</f>
        <v>27.963579484734613</v>
      </c>
      <c r="P23" s="47">
        <f ca="1">IF(M23&gt;0,N23*100/M23,0)</f>
        <v>33.057058635418088</v>
      </c>
    </row>
    <row r="24" spans="1:16" ht="18.75" x14ac:dyDescent="0.25">
      <c r="A24" s="40"/>
      <c r="B24" s="41"/>
      <c r="C24" s="41"/>
      <c r="D24" s="42" t="s">
        <v>21</v>
      </c>
      <c r="E24" s="41"/>
      <c r="F24" s="41"/>
      <c r="G24" s="43"/>
      <c r="H24" s="44" t="s">
        <v>12</v>
      </c>
      <c r="I24" s="45"/>
      <c r="J24" s="45"/>
      <c r="K24" s="46"/>
      <c r="L24" s="47">
        <f ca="1">L25+L26</f>
        <v>0</v>
      </c>
      <c r="M24" s="47">
        <f ca="1">M25+M26</f>
        <v>0</v>
      </c>
      <c r="N24" s="47">
        <f ca="1">N25+N26</f>
        <v>0</v>
      </c>
      <c r="O24" s="47">
        <f ca="1">IF(L24&gt;0,N24*100/L24,0)</f>
        <v>0</v>
      </c>
      <c r="P24" s="47">
        <f ca="1">IF(M24&gt;0,N24*100/M24,0)</f>
        <v>0</v>
      </c>
    </row>
    <row r="25" spans="1:16" ht="18.75" hidden="1" x14ac:dyDescent="0.25">
      <c r="A25" s="40"/>
      <c r="B25" s="41"/>
      <c r="C25" s="41"/>
      <c r="D25" s="41"/>
      <c r="E25" s="279" t="s">
        <v>18</v>
      </c>
      <c r="F25" s="41"/>
      <c r="G25" s="43"/>
      <c r="H25" s="49" t="s">
        <v>12</v>
      </c>
      <c r="I25" s="45"/>
      <c r="J25" s="45"/>
      <c r="K25" s="46"/>
      <c r="L25" s="50">
        <f>L51+L66+L79+L101+L132+L146+L164+L193+L180+L273+L289+L310+L327+L340+L363+L384</f>
        <v>0</v>
      </c>
      <c r="M25" s="50">
        <f>M51+M66+M79+M101+M132+M146+M164+M193+M180+M273+M289+M310+M327+M340+M363+M384</f>
        <v>0</v>
      </c>
      <c r="N25" s="50">
        <f>N51+N66+N79+N101+N132+N146+N164+N193+N180+N273+N289+N310+N327+N340+N363+N384</f>
        <v>0</v>
      </c>
      <c r="O25" s="50">
        <f>IF(L25&gt;0,N25*100/L25,0)</f>
        <v>0</v>
      </c>
      <c r="P25" s="50">
        <f>IF(M25&gt;0,N25*100/M25,0)</f>
        <v>0</v>
      </c>
    </row>
    <row r="26" spans="1:16" ht="18.75" x14ac:dyDescent="0.25">
      <c r="A26" s="40"/>
      <c r="B26" s="41"/>
      <c r="C26" s="41"/>
      <c r="D26" s="41"/>
      <c r="E26" s="254" t="s">
        <v>19</v>
      </c>
      <c r="F26" s="41"/>
      <c r="G26" s="43"/>
      <c r="H26" s="44" t="s">
        <v>12</v>
      </c>
      <c r="I26" s="45"/>
      <c r="J26" s="45"/>
      <c r="K26" s="46"/>
      <c r="L26" s="47">
        <f ca="1">L52+L67+L80+L102+L133+L147+L165+L194+L181+L274+L290+L311+L328+L341+L364+L385</f>
        <v>0</v>
      </c>
      <c r="M26" s="47">
        <f ca="1">M52+M67+M80+M102+M133+M147+M165+M194+M181+M274+M290+M311+M328+M341+M364+M385</f>
        <v>0</v>
      </c>
      <c r="N26" s="47">
        <f ca="1">N52+N67+N80+N102+N133+N147+N165+N194+N181+N274+N290+N311+N328+N341+N364+N385</f>
        <v>0</v>
      </c>
      <c r="O26" s="47">
        <f ca="1">IF(L26&gt;0,N26*100/L26,0)</f>
        <v>0</v>
      </c>
      <c r="P26" s="47">
        <f ca="1">IF(M26&gt;0,N26*100/M26,0)</f>
        <v>0</v>
      </c>
    </row>
    <row r="27" spans="1:16" ht="18.75" hidden="1" x14ac:dyDescent="0.25">
      <c r="A27" s="40"/>
      <c r="B27" s="41"/>
      <c r="C27" s="41"/>
      <c r="D27" s="42" t="s">
        <v>22</v>
      </c>
      <c r="E27" s="41"/>
      <c r="F27" s="41"/>
      <c r="G27" s="43"/>
      <c r="H27" s="44" t="s">
        <v>12</v>
      </c>
      <c r="I27" s="45"/>
      <c r="J27" s="45"/>
      <c r="K27" s="46"/>
      <c r="L27" s="47"/>
      <c r="M27" s="47"/>
      <c r="N27" s="47"/>
      <c r="O27" s="47"/>
      <c r="P27" s="47"/>
    </row>
    <row r="28" spans="1:16" ht="18.75" hidden="1" x14ac:dyDescent="0.25">
      <c r="A28" s="40"/>
      <c r="B28" s="41"/>
      <c r="C28" s="41"/>
      <c r="D28" s="41"/>
      <c r="E28" s="279" t="s">
        <v>18</v>
      </c>
      <c r="F28" s="41"/>
      <c r="G28" s="43"/>
      <c r="H28" s="49" t="s">
        <v>12</v>
      </c>
      <c r="I28" s="45"/>
      <c r="J28" s="45"/>
      <c r="K28" s="46"/>
      <c r="L28" s="50"/>
      <c r="M28" s="50"/>
      <c r="N28" s="50"/>
      <c r="O28" s="50"/>
      <c r="P28" s="50"/>
    </row>
    <row r="29" spans="1:16" ht="18.75" hidden="1" x14ac:dyDescent="0.25">
      <c r="A29" s="52"/>
      <c r="B29" s="1"/>
      <c r="C29" s="1"/>
      <c r="D29" s="1"/>
      <c r="E29" s="53" t="s">
        <v>19</v>
      </c>
      <c r="F29" s="1"/>
      <c r="G29" s="54"/>
      <c r="H29" s="55" t="s">
        <v>12</v>
      </c>
      <c r="I29" s="56"/>
      <c r="J29" s="56"/>
      <c r="K29" s="57"/>
      <c r="L29" s="58"/>
      <c r="M29" s="58"/>
      <c r="N29" s="58"/>
      <c r="O29" s="58"/>
      <c r="P29" s="58"/>
    </row>
    <row r="30" spans="1:16" ht="12.75" hidden="1" x14ac:dyDescent="0.2">
      <c r="A30" s="381"/>
      <c r="B30" s="379"/>
      <c r="C30" s="379"/>
      <c r="D30" s="379"/>
      <c r="E30" s="379"/>
      <c r="F30" s="379"/>
      <c r="G30" s="380"/>
      <c r="H30" s="12"/>
      <c r="I30" s="13"/>
      <c r="J30" s="13"/>
      <c r="K30" s="14"/>
      <c r="L30" s="14"/>
      <c r="M30" s="14"/>
      <c r="N30" s="14"/>
      <c r="O30" s="14"/>
      <c r="P30" s="14"/>
    </row>
    <row r="31" spans="1:16" ht="12.75" hidden="1" x14ac:dyDescent="0.2">
      <c r="A31" s="15"/>
      <c r="B31" s="16"/>
      <c r="C31" s="16"/>
      <c r="D31" s="16"/>
      <c r="E31" s="16"/>
      <c r="F31" s="16"/>
      <c r="G31" s="17"/>
      <c r="H31" s="17"/>
      <c r="I31" s="18"/>
      <c r="J31" s="18"/>
      <c r="K31" s="19"/>
      <c r="L31" s="19"/>
      <c r="M31" s="19"/>
      <c r="N31" s="19"/>
      <c r="O31" s="19"/>
      <c r="P31" s="19"/>
    </row>
    <row r="32" spans="1:16" ht="12.75" hidden="1" x14ac:dyDescent="0.2">
      <c r="A32" s="15"/>
      <c r="B32" s="16"/>
      <c r="C32" s="16"/>
      <c r="D32" s="16"/>
      <c r="E32" s="16"/>
      <c r="F32" s="16"/>
      <c r="G32" s="17"/>
      <c r="H32" s="17"/>
      <c r="I32" s="18"/>
      <c r="J32" s="18"/>
      <c r="K32" s="19"/>
      <c r="L32" s="19"/>
      <c r="M32" s="19"/>
      <c r="N32" s="19"/>
      <c r="O32" s="19"/>
      <c r="P32" s="19"/>
    </row>
    <row r="33" spans="1:16" ht="12.75" hidden="1" x14ac:dyDescent="0.2">
      <c r="A33" s="15"/>
      <c r="B33" s="16"/>
      <c r="C33" s="16"/>
      <c r="D33" s="16"/>
      <c r="E33" s="16"/>
      <c r="F33" s="16"/>
      <c r="G33" s="17"/>
      <c r="H33" s="17"/>
      <c r="I33" s="18"/>
      <c r="J33" s="18"/>
      <c r="K33" s="19"/>
      <c r="L33" s="19"/>
      <c r="M33" s="19"/>
      <c r="N33" s="19"/>
      <c r="O33" s="19"/>
      <c r="P33" s="19"/>
    </row>
    <row r="34" spans="1:16" ht="12.75" hidden="1" x14ac:dyDescent="0.2">
      <c r="A34" s="15"/>
      <c r="B34" s="16"/>
      <c r="C34" s="16"/>
      <c r="D34" s="16"/>
      <c r="E34" s="16"/>
      <c r="F34" s="16"/>
      <c r="G34" s="17"/>
      <c r="H34" s="17"/>
      <c r="I34" s="18"/>
      <c r="J34" s="18"/>
      <c r="K34" s="19"/>
      <c r="L34" s="19"/>
      <c r="M34" s="19"/>
      <c r="N34" s="19"/>
      <c r="O34" s="19"/>
      <c r="P34" s="19"/>
    </row>
    <row r="35" spans="1:16" ht="12.75" hidden="1" x14ac:dyDescent="0.2">
      <c r="A35" s="15"/>
      <c r="B35" s="16"/>
      <c r="C35" s="16"/>
      <c r="D35" s="16"/>
      <c r="E35" s="16"/>
      <c r="F35" s="16"/>
      <c r="G35" s="17"/>
      <c r="H35" s="17"/>
      <c r="I35" s="18"/>
      <c r="J35" s="18"/>
      <c r="K35" s="19"/>
      <c r="L35" s="19"/>
      <c r="M35" s="19"/>
      <c r="N35" s="19"/>
      <c r="O35" s="19"/>
      <c r="P35" s="19"/>
    </row>
    <row r="36" spans="1:16" ht="12.75" hidden="1" x14ac:dyDescent="0.2">
      <c r="A36" s="15"/>
      <c r="B36" s="16"/>
      <c r="C36" s="16"/>
      <c r="D36" s="16"/>
      <c r="E36" s="16"/>
      <c r="F36" s="16"/>
      <c r="G36" s="17"/>
      <c r="H36" s="17"/>
      <c r="I36" s="18"/>
      <c r="J36" s="18"/>
      <c r="K36" s="19"/>
      <c r="L36" s="19"/>
      <c r="M36" s="19"/>
      <c r="N36" s="19"/>
      <c r="O36" s="19"/>
      <c r="P36" s="19"/>
    </row>
    <row r="37" spans="1:16" ht="12.75" hidden="1" x14ac:dyDescent="0.2">
      <c r="A37" s="15"/>
      <c r="B37" s="16"/>
      <c r="C37" s="16"/>
      <c r="D37" s="16"/>
      <c r="E37" s="16"/>
      <c r="F37" s="16"/>
      <c r="G37" s="17"/>
      <c r="H37" s="17"/>
      <c r="I37" s="18"/>
      <c r="J37" s="18"/>
      <c r="K37" s="19"/>
      <c r="L37" s="19"/>
      <c r="M37" s="19"/>
      <c r="N37" s="19"/>
      <c r="O37" s="19"/>
      <c r="P37" s="19"/>
    </row>
    <row r="38" spans="1:16" ht="12.75" hidden="1" x14ac:dyDescent="0.2">
      <c r="A38" s="15"/>
      <c r="B38" s="16"/>
      <c r="C38" s="16"/>
      <c r="D38" s="16"/>
      <c r="E38" s="16"/>
      <c r="F38" s="16"/>
      <c r="G38" s="17"/>
      <c r="H38" s="17"/>
      <c r="I38" s="18"/>
      <c r="J38" s="18"/>
      <c r="K38" s="19"/>
      <c r="L38" s="19"/>
      <c r="M38" s="19"/>
      <c r="N38" s="19"/>
      <c r="O38" s="19"/>
      <c r="P38" s="19"/>
    </row>
    <row r="39" spans="1:16" ht="12.75" hidden="1" x14ac:dyDescent="0.2">
      <c r="A39" s="20"/>
      <c r="B39" s="21"/>
      <c r="C39" s="21"/>
      <c r="D39" s="21"/>
      <c r="E39" s="21"/>
      <c r="F39" s="21"/>
      <c r="G39" s="12"/>
      <c r="H39" s="12"/>
      <c r="I39" s="13"/>
      <c r="J39" s="13"/>
      <c r="K39" s="14"/>
      <c r="L39" s="14"/>
      <c r="M39" s="14"/>
      <c r="N39" s="14"/>
      <c r="O39" s="14"/>
      <c r="P39" s="14"/>
    </row>
    <row r="40" spans="1:16" ht="19.5" hidden="1" x14ac:dyDescent="0.3">
      <c r="A40" s="59" t="s">
        <v>23</v>
      </c>
      <c r="B40" s="60"/>
      <c r="C40" s="60"/>
      <c r="D40" s="60"/>
      <c r="E40" s="60"/>
      <c r="F40" s="60"/>
      <c r="G40" s="61"/>
      <c r="H40" s="61"/>
      <c r="I40" s="62"/>
      <c r="J40" s="62"/>
      <c r="K40" s="63"/>
      <c r="L40" s="64">
        <f ca="1">L44+L59+L72+L94+L125+L139+L157+L173+L186+L266+L282+L303+L320+L333+L356</f>
        <v>1866805</v>
      </c>
      <c r="M40" s="64">
        <f ca="1">M44+M59+M72+M94+M125+M139+M157+M173+M186+M266+M282+M303+M320+M333+M356</f>
        <v>1579165</v>
      </c>
      <c r="N40" s="64">
        <f ca="1">N44+N59+N72+N94+N125+N139+N157+N173+N186+N266+N282+N303+N320+N333+N356</f>
        <v>522025.5</v>
      </c>
      <c r="O40" s="64">
        <f ca="1">IF(L40&gt;0,N40*100/L40,0)</f>
        <v>27.963579484734613</v>
      </c>
      <c r="P40" s="64">
        <f ca="1">IF(M40&gt;0,N40*100/M40,0)</f>
        <v>33.057058635418088</v>
      </c>
    </row>
    <row r="41" spans="1:16" ht="19.5" x14ac:dyDescent="0.3">
      <c r="A41" s="65" t="s">
        <v>24</v>
      </c>
      <c r="B41" s="66"/>
      <c r="C41" s="66"/>
      <c r="D41" s="66"/>
      <c r="E41" s="66"/>
      <c r="F41" s="66"/>
      <c r="G41" s="66"/>
      <c r="H41" s="66"/>
      <c r="I41" s="67"/>
      <c r="J41" s="67"/>
      <c r="K41" s="68"/>
      <c r="L41" s="68"/>
      <c r="M41" s="68"/>
      <c r="N41" s="68"/>
      <c r="O41" s="68"/>
      <c r="P41" s="69"/>
    </row>
    <row r="42" spans="1:16" ht="19.5" x14ac:dyDescent="0.3">
      <c r="A42" s="70"/>
      <c r="B42" s="71" t="s">
        <v>25</v>
      </c>
      <c r="C42" s="70"/>
      <c r="D42" s="70"/>
      <c r="E42" s="70"/>
      <c r="F42" s="70"/>
      <c r="G42" s="72"/>
      <c r="H42" s="72"/>
      <c r="I42" s="73"/>
      <c r="J42" s="73"/>
      <c r="K42" s="74"/>
      <c r="L42" s="74"/>
      <c r="M42" s="74"/>
      <c r="N42" s="74"/>
      <c r="O42" s="74"/>
      <c r="P42" s="74"/>
    </row>
    <row r="43" spans="1:16" ht="12.75" hidden="1" x14ac:dyDescent="0.2">
      <c r="A43" s="15"/>
      <c r="B43" s="16"/>
      <c r="C43" s="16"/>
      <c r="D43" s="16"/>
      <c r="E43" s="16"/>
      <c r="F43" s="16"/>
      <c r="G43" s="17"/>
      <c r="H43" s="17"/>
      <c r="I43" s="18"/>
      <c r="J43" s="18"/>
      <c r="K43" s="19"/>
      <c r="L43" s="19"/>
      <c r="M43" s="19"/>
      <c r="N43" s="19"/>
      <c r="O43" s="19"/>
      <c r="P43" s="19"/>
    </row>
    <row r="44" spans="1:16" ht="19.5" x14ac:dyDescent="0.3">
      <c r="A44" s="75"/>
      <c r="B44" s="76"/>
      <c r="C44" s="77" t="s">
        <v>16</v>
      </c>
      <c r="D44" s="404" t="s">
        <v>17</v>
      </c>
      <c r="E44" s="76"/>
      <c r="F44" s="76"/>
      <c r="G44" s="79"/>
      <c r="H44" s="80" t="s">
        <v>12</v>
      </c>
      <c r="I44" s="81"/>
      <c r="J44" s="81"/>
      <c r="K44" s="82"/>
      <c r="L44" s="83">
        <f ca="1">L45+L46</f>
        <v>357400</v>
      </c>
      <c r="M44" s="83">
        <f ca="1">M45+M46</f>
        <v>363200</v>
      </c>
      <c r="N44" s="83">
        <f ca="1">N45+N46</f>
        <v>149500</v>
      </c>
      <c r="O44" s="83">
        <f ca="1">IF(L44&gt;0,N44*100/L44,0)</f>
        <v>41.829882484611083</v>
      </c>
      <c r="P44" s="83">
        <f ca="1">IF(M44&gt;0,N44*100/M44,0)</f>
        <v>41.16189427312775</v>
      </c>
    </row>
    <row r="45" spans="1:16" ht="18.75" hidden="1" x14ac:dyDescent="0.25">
      <c r="A45" s="75"/>
      <c r="B45" s="76"/>
      <c r="C45" s="76"/>
      <c r="D45" s="76"/>
      <c r="E45" s="84" t="s">
        <v>18</v>
      </c>
      <c r="F45" s="76"/>
      <c r="G45" s="79"/>
      <c r="H45" s="85" t="s">
        <v>12</v>
      </c>
      <c r="I45" s="81"/>
      <c r="J45" s="81"/>
      <c r="K45" s="82"/>
      <c r="L45" s="86">
        <f>L48+L51</f>
        <v>0</v>
      </c>
      <c r="M45" s="86">
        <f>M48+M51</f>
        <v>0</v>
      </c>
      <c r="N45" s="86">
        <f>N48+N51</f>
        <v>0</v>
      </c>
      <c r="O45" s="86">
        <f>IF(L45&gt;0,N45*100/L45,0)</f>
        <v>0</v>
      </c>
      <c r="P45" s="86">
        <f>IF(M45&gt;0,N45*100/M45,0)</f>
        <v>0</v>
      </c>
    </row>
    <row r="46" spans="1:16" ht="18.75" x14ac:dyDescent="0.25">
      <c r="A46" s="75"/>
      <c r="B46" s="76"/>
      <c r="C46" s="76"/>
      <c r="D46" s="76"/>
      <c r="E46" s="87" t="s">
        <v>19</v>
      </c>
      <c r="F46" s="76"/>
      <c r="G46" s="79"/>
      <c r="H46" s="88" t="s">
        <v>12</v>
      </c>
      <c r="I46" s="81"/>
      <c r="J46" s="81"/>
      <c r="K46" s="82"/>
      <c r="L46" s="89">
        <f ca="1">L49+L52</f>
        <v>357400</v>
      </c>
      <c r="M46" s="89">
        <f ca="1">M49+M52</f>
        <v>363200</v>
      </c>
      <c r="N46" s="89">
        <f ca="1">N49+N52</f>
        <v>149500</v>
      </c>
      <c r="O46" s="89">
        <f ca="1">IF(L46&gt;0,N46*100/L46,0)</f>
        <v>41.829882484611083</v>
      </c>
      <c r="P46" s="89">
        <f ca="1">IF(M46&gt;0,N46*100/M46,0)</f>
        <v>41.16189427312775</v>
      </c>
    </row>
    <row r="47" spans="1:16" ht="18.75" x14ac:dyDescent="0.25">
      <c r="A47" s="40"/>
      <c r="B47" s="41"/>
      <c r="C47" s="41"/>
      <c r="D47" s="42" t="s">
        <v>20</v>
      </c>
      <c r="E47" s="41"/>
      <c r="F47" s="41"/>
      <c r="G47" s="43"/>
      <c r="H47" s="44" t="s">
        <v>12</v>
      </c>
      <c r="I47" s="45"/>
      <c r="J47" s="45"/>
      <c r="K47" s="46"/>
      <c r="L47" s="47">
        <f ca="1">L48+L49</f>
        <v>357400</v>
      </c>
      <c r="M47" s="47">
        <f ca="1">M48+M49</f>
        <v>363200</v>
      </c>
      <c r="N47" s="47">
        <f ca="1">N48+N49</f>
        <v>149500</v>
      </c>
      <c r="O47" s="47">
        <f ca="1">IF(L47&gt;0,N47*100/L47,0)</f>
        <v>41.829882484611083</v>
      </c>
      <c r="P47" s="47">
        <f ca="1">IF(M47&gt;0,N47*100/M47,0)</f>
        <v>41.16189427312775</v>
      </c>
    </row>
    <row r="48" spans="1:16" ht="18.75" hidden="1" x14ac:dyDescent="0.25">
      <c r="A48" s="40"/>
      <c r="B48" s="41"/>
      <c r="C48" s="41"/>
      <c r="D48" s="41"/>
      <c r="E48" s="279" t="s">
        <v>18</v>
      </c>
      <c r="F48" s="41"/>
      <c r="G48" s="43"/>
      <c r="H48" s="49" t="s">
        <v>12</v>
      </c>
      <c r="I48" s="45"/>
      <c r="J48" s="45"/>
      <c r="K48" s="46"/>
      <c r="L48" s="50">
        <v>0</v>
      </c>
      <c r="M48" s="50">
        <v>0</v>
      </c>
      <c r="N48" s="50">
        <v>0</v>
      </c>
      <c r="O48" s="50">
        <f>IF(L48&gt;0,N48*100/L48,0)</f>
        <v>0</v>
      </c>
      <c r="P48" s="50">
        <f>IF(M48&gt;0,N48*100/M48,0)</f>
        <v>0</v>
      </c>
    </row>
    <row r="49" spans="1:16" ht="18.75" x14ac:dyDescent="0.25">
      <c r="A49" s="40"/>
      <c r="B49" s="41"/>
      <c r="C49" s="41"/>
      <c r="D49" s="41"/>
      <c r="E49" s="254" t="s">
        <v>19</v>
      </c>
      <c r="F49" s="41"/>
      <c r="G49" s="43"/>
      <c r="H49" s="44" t="s">
        <v>12</v>
      </c>
      <c r="I49" s="45"/>
      <c r="J49" s="45"/>
      <c r="K49" s="46"/>
      <c r="L49" s="47">
        <f ca="1">IFERROR(__xludf.DUMMYFUNCTION("IMPORTRANGE(""https://docs.google.com/spreadsheets/d/1-uDff_7J0KD5mKrp0Vvzr7lt3OU09vwQwhkpOPPYv2Y/edit?usp=sharing"",""งบพรบ!P26"")"),357400)</f>
        <v>357400</v>
      </c>
      <c r="M49" s="47">
        <f ca="1">IFERROR(__xludf.DUMMYFUNCTION("IMPORTRANGE(""https://docs.google.com/spreadsheets/d/1-uDff_7J0KD5mKrp0Vvzr7lt3OU09vwQwhkpOPPYv2Y/edit?usp=sharing"",""งบพรบ!V26"")"),363200)</f>
        <v>363200</v>
      </c>
      <c r="N49" s="47">
        <f ca="1">IFERROR(__xludf.DUMMYFUNCTION("IMPORTRANGE(""https://docs.google.com/spreadsheets/d/1-uDff_7J0KD5mKrp0Vvzr7lt3OU09vwQwhkpOPPYv2Y/edit?usp=sharing"",""งบพรบ!Y26"")"),149500)</f>
        <v>149500</v>
      </c>
      <c r="O49" s="47">
        <f ca="1">IF(L49&gt;0,N49*100/L49,0)</f>
        <v>41.829882484611083</v>
      </c>
      <c r="P49" s="47">
        <f ca="1">IF(M49&gt;0,N49*100/M49,0)</f>
        <v>41.16189427312775</v>
      </c>
    </row>
    <row r="50" spans="1:16" ht="18.75" x14ac:dyDescent="0.25">
      <c r="A50" s="40"/>
      <c r="B50" s="41"/>
      <c r="C50" s="41"/>
      <c r="D50" s="42" t="s">
        <v>21</v>
      </c>
      <c r="E50" s="41"/>
      <c r="F50" s="41"/>
      <c r="G50" s="43"/>
      <c r="H50" s="44" t="s">
        <v>12</v>
      </c>
      <c r="I50" s="45"/>
      <c r="J50" s="45"/>
      <c r="K50" s="46"/>
      <c r="L50" s="47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</row>
    <row r="51" spans="1:16" ht="18.75" hidden="1" x14ac:dyDescent="0.25">
      <c r="A51" s="40"/>
      <c r="B51" s="41"/>
      <c r="C51" s="41"/>
      <c r="D51" s="41"/>
      <c r="E51" s="279" t="s">
        <v>18</v>
      </c>
      <c r="F51" s="41"/>
      <c r="G51" s="43"/>
      <c r="H51" s="49" t="s">
        <v>12</v>
      </c>
      <c r="I51" s="45"/>
      <c r="J51" s="45"/>
      <c r="K51" s="46"/>
      <c r="L51" s="50">
        <v>0</v>
      </c>
      <c r="M51" s="50">
        <v>0</v>
      </c>
      <c r="N51" s="50">
        <v>0</v>
      </c>
      <c r="O51" s="50">
        <f>IF(L51&gt;0,N51*100/L51,0)</f>
        <v>0</v>
      </c>
      <c r="P51" s="50">
        <f>IF(M51&gt;0,N51*100/M51,0)</f>
        <v>0</v>
      </c>
    </row>
    <row r="52" spans="1:16" ht="18.75" x14ac:dyDescent="0.25">
      <c r="A52" s="40"/>
      <c r="B52" s="41"/>
      <c r="C52" s="41"/>
      <c r="D52" s="41"/>
      <c r="E52" s="254" t="s">
        <v>19</v>
      </c>
      <c r="F52" s="41"/>
      <c r="G52" s="43"/>
      <c r="H52" s="44" t="s">
        <v>12</v>
      </c>
      <c r="I52" s="45"/>
      <c r="J52" s="45"/>
      <c r="K52" s="46"/>
      <c r="L52" s="47">
        <f ca="1">IFERROR(__xludf.DUMMYFUNCTION("IMPORTRANGE(""https://docs.google.com/spreadsheets/d/1-uDff_7J0KD5mKrp0Vvzr7lt3OU09vwQwhkpOPPYv2Y/edit?usp=sharing"",""งบพรบ!S26"")"),0)</f>
        <v>0</v>
      </c>
      <c r="M52" s="47">
        <f ca="1">IFERROR(__xludf.DUMMYFUNCTION("IMPORTRANGE(""https://docs.google.com/spreadsheets/d/1-uDff_7J0KD5mKrp0Vvzr7lt3OU09vwQwhkpOPPYv2Y/edit?usp=sharing"",""งบพรบ!W26"")"),0)</f>
        <v>0</v>
      </c>
      <c r="N52" s="47">
        <f ca="1">IFERROR(__xludf.DUMMYFUNCTION("IMPORTRANGE(""https://docs.google.com/spreadsheets/d/1-uDff_7J0KD5mKrp0Vvzr7lt3OU09vwQwhkpOPPYv2Y/edit?usp=sharing"",""งบพรบ!Z26"")"),0)</f>
        <v>0</v>
      </c>
      <c r="O52" s="47">
        <f ca="1">IF(L52&gt;0,N52*100/L52,0)</f>
        <v>0</v>
      </c>
      <c r="P52" s="47">
        <f ca="1">IF(M52&gt;0,N52*100/M52,0)</f>
        <v>0</v>
      </c>
    </row>
    <row r="53" spans="1:16" ht="18.75" hidden="1" x14ac:dyDescent="0.25">
      <c r="A53" s="40"/>
      <c r="B53" s="41"/>
      <c r="C53" s="41"/>
      <c r="D53" s="42" t="s">
        <v>22</v>
      </c>
      <c r="E53" s="41"/>
      <c r="F53" s="41"/>
      <c r="G53" s="43"/>
      <c r="H53" s="44" t="s">
        <v>12</v>
      </c>
      <c r="I53" s="45"/>
      <c r="J53" s="45"/>
      <c r="K53" s="46"/>
      <c r="L53" s="47"/>
      <c r="M53" s="47"/>
      <c r="N53" s="47"/>
      <c r="O53" s="47"/>
      <c r="P53" s="47"/>
    </row>
    <row r="54" spans="1:16" ht="18.75" hidden="1" x14ac:dyDescent="0.25">
      <c r="A54" s="40"/>
      <c r="B54" s="41"/>
      <c r="C54" s="41"/>
      <c r="D54" s="41"/>
      <c r="E54" s="279" t="s">
        <v>18</v>
      </c>
      <c r="F54" s="41"/>
      <c r="G54" s="43"/>
      <c r="H54" s="49" t="s">
        <v>12</v>
      </c>
      <c r="I54" s="45"/>
      <c r="J54" s="45"/>
      <c r="K54" s="46"/>
      <c r="L54" s="50"/>
      <c r="M54" s="50"/>
      <c r="N54" s="50"/>
      <c r="O54" s="50"/>
      <c r="P54" s="50"/>
    </row>
    <row r="55" spans="1:16" ht="18.75" hidden="1" x14ac:dyDescent="0.25">
      <c r="A55" s="52"/>
      <c r="B55" s="1"/>
      <c r="C55" s="1"/>
      <c r="D55" s="1"/>
      <c r="E55" s="53" t="s">
        <v>19</v>
      </c>
      <c r="F55" s="1"/>
      <c r="G55" s="54"/>
      <c r="H55" s="55" t="s">
        <v>12</v>
      </c>
      <c r="I55" s="56"/>
      <c r="J55" s="56"/>
      <c r="K55" s="57"/>
      <c r="L55" s="58"/>
      <c r="M55" s="58"/>
      <c r="N55" s="58"/>
      <c r="O55" s="58"/>
      <c r="P55" s="58"/>
    </row>
    <row r="56" spans="1:16" ht="19.5" x14ac:dyDescent="0.3">
      <c r="A56" s="382" t="s">
        <v>26</v>
      </c>
      <c r="B56" s="379"/>
      <c r="C56" s="379"/>
      <c r="D56" s="379"/>
      <c r="E56" s="379"/>
      <c r="F56" s="379"/>
      <c r="G56" s="380"/>
      <c r="H56" s="90"/>
      <c r="I56" s="91"/>
      <c r="J56" s="91"/>
      <c r="K56" s="92"/>
      <c r="L56" s="92"/>
      <c r="M56" s="92"/>
      <c r="N56" s="92"/>
      <c r="O56" s="92"/>
      <c r="P56" s="93"/>
    </row>
    <row r="57" spans="1:16" ht="19.5" x14ac:dyDescent="0.3">
      <c r="A57" s="94"/>
      <c r="B57" s="383" t="s">
        <v>27</v>
      </c>
      <c r="C57" s="384"/>
      <c r="D57" s="384"/>
      <c r="E57" s="384"/>
      <c r="F57" s="384"/>
      <c r="G57" s="385"/>
      <c r="H57" s="95"/>
      <c r="I57" s="96"/>
      <c r="J57" s="96"/>
      <c r="K57" s="97"/>
      <c r="L57" s="97"/>
      <c r="M57" s="97"/>
      <c r="N57" s="97"/>
      <c r="O57" s="97"/>
      <c r="P57" s="97"/>
    </row>
    <row r="58" spans="1:16" ht="19.5" x14ac:dyDescent="0.3">
      <c r="A58" s="98"/>
      <c r="B58" s="99" t="s">
        <v>28</v>
      </c>
      <c r="C58" s="100"/>
      <c r="D58" s="100"/>
      <c r="E58" s="100"/>
      <c r="F58" s="100"/>
      <c r="G58" s="101"/>
      <c r="H58" s="101"/>
      <c r="I58" s="102"/>
      <c r="J58" s="102"/>
      <c r="K58" s="103"/>
      <c r="L58" s="103"/>
      <c r="M58" s="103"/>
      <c r="N58" s="103"/>
      <c r="O58" s="103"/>
      <c r="P58" s="103"/>
    </row>
    <row r="59" spans="1:16" ht="19.5" x14ac:dyDescent="0.3">
      <c r="A59" s="104"/>
      <c r="B59" s="105"/>
      <c r="C59" s="106" t="s">
        <v>16</v>
      </c>
      <c r="D59" s="403" t="s">
        <v>17</v>
      </c>
      <c r="E59" s="105"/>
      <c r="F59" s="105"/>
      <c r="G59" s="108"/>
      <c r="H59" s="109" t="s">
        <v>12</v>
      </c>
      <c r="I59" s="110"/>
      <c r="J59" s="110"/>
      <c r="K59" s="111"/>
      <c r="L59" s="112">
        <f ca="1">L60+L61</f>
        <v>439800</v>
      </c>
      <c r="M59" s="112">
        <f ca="1">M60+M61</f>
        <v>331950</v>
      </c>
      <c r="N59" s="112">
        <f ca="1">N60+N61</f>
        <v>198047.15</v>
      </c>
      <c r="O59" s="112">
        <f ca="1">IF(L59&gt;0,N59*100/L59,0)</f>
        <v>45.031184629376988</v>
      </c>
      <c r="P59" s="112">
        <f ca="1">IF(M59&gt;0,N59*100/M59,0)</f>
        <v>59.661741226088267</v>
      </c>
    </row>
    <row r="60" spans="1:16" ht="18.75" hidden="1" x14ac:dyDescent="0.25">
      <c r="A60" s="104"/>
      <c r="B60" s="105"/>
      <c r="C60" s="105"/>
      <c r="D60" s="105"/>
      <c r="E60" s="113" t="s">
        <v>18</v>
      </c>
      <c r="F60" s="105"/>
      <c r="G60" s="108"/>
      <c r="H60" s="114" t="s">
        <v>12</v>
      </c>
      <c r="I60" s="110"/>
      <c r="J60" s="110"/>
      <c r="K60" s="111"/>
      <c r="L60" s="115">
        <f>L63+L66</f>
        <v>0</v>
      </c>
      <c r="M60" s="115">
        <f>M63+M66</f>
        <v>0</v>
      </c>
      <c r="N60" s="115">
        <f>N63+N66</f>
        <v>0</v>
      </c>
      <c r="O60" s="115">
        <f>IF(L60&gt;0,N60*100/L60,0)</f>
        <v>0</v>
      </c>
      <c r="P60" s="115">
        <f>IF(M60&gt;0,N60*100/M60,0)</f>
        <v>0</v>
      </c>
    </row>
    <row r="61" spans="1:16" ht="18.75" x14ac:dyDescent="0.25">
      <c r="A61" s="104"/>
      <c r="B61" s="105"/>
      <c r="C61" s="105"/>
      <c r="D61" s="105"/>
      <c r="E61" s="116" t="s">
        <v>19</v>
      </c>
      <c r="F61" s="105"/>
      <c r="G61" s="108"/>
      <c r="H61" s="117" t="s">
        <v>12</v>
      </c>
      <c r="I61" s="110"/>
      <c r="J61" s="110"/>
      <c r="K61" s="111"/>
      <c r="L61" s="118">
        <f ca="1">L64+L67</f>
        <v>439800</v>
      </c>
      <c r="M61" s="118">
        <f ca="1">M64+M67</f>
        <v>331950</v>
      </c>
      <c r="N61" s="118">
        <f ca="1">N64+N67</f>
        <v>198047.15</v>
      </c>
      <c r="O61" s="118">
        <f ca="1">IF(L61&gt;0,N61*100/L61,0)</f>
        <v>45.031184629376988</v>
      </c>
      <c r="P61" s="118">
        <f ca="1">IF(M61&gt;0,N61*100/M61,0)</f>
        <v>59.661741226088267</v>
      </c>
    </row>
    <row r="62" spans="1:16" ht="18.75" x14ac:dyDescent="0.25">
      <c r="A62" s="40"/>
      <c r="B62" s="41"/>
      <c r="C62" s="41"/>
      <c r="D62" s="42" t="s">
        <v>20</v>
      </c>
      <c r="E62" s="41"/>
      <c r="F62" s="41"/>
      <c r="G62" s="43"/>
      <c r="H62" s="44" t="s">
        <v>12</v>
      </c>
      <c r="I62" s="45"/>
      <c r="J62" s="45"/>
      <c r="K62" s="46"/>
      <c r="L62" s="47">
        <f ca="1">L63+L64</f>
        <v>439800</v>
      </c>
      <c r="M62" s="47">
        <f ca="1">M63+M64</f>
        <v>331950</v>
      </c>
      <c r="N62" s="47">
        <f ca="1">N63+N64</f>
        <v>198047.15</v>
      </c>
      <c r="O62" s="47">
        <f ca="1">IF(L62&gt;0,N62*100/L62,0)</f>
        <v>45.031184629376988</v>
      </c>
      <c r="P62" s="47">
        <f ca="1">IF(M62&gt;0,N62*100/M62,0)</f>
        <v>59.661741226088267</v>
      </c>
    </row>
    <row r="63" spans="1:16" ht="18.75" hidden="1" x14ac:dyDescent="0.25">
      <c r="A63" s="40"/>
      <c r="B63" s="41"/>
      <c r="C63" s="41"/>
      <c r="D63" s="41"/>
      <c r="E63" s="279" t="s">
        <v>18</v>
      </c>
      <c r="F63" s="41"/>
      <c r="G63" s="43"/>
      <c r="H63" s="49" t="s">
        <v>12</v>
      </c>
      <c r="I63" s="45"/>
      <c r="J63" s="45"/>
      <c r="K63" s="46"/>
      <c r="L63" s="50">
        <v>0</v>
      </c>
      <c r="M63" s="50">
        <v>0</v>
      </c>
      <c r="N63" s="50">
        <v>0</v>
      </c>
      <c r="O63" s="50">
        <f>IF(L63&gt;0,N63*100/L63,0)</f>
        <v>0</v>
      </c>
      <c r="P63" s="50">
        <f>IF(M63&gt;0,N63*100/M63,0)</f>
        <v>0</v>
      </c>
    </row>
    <row r="64" spans="1:16" ht="18.75" x14ac:dyDescent="0.25">
      <c r="A64" s="40"/>
      <c r="B64" s="41"/>
      <c r="C64" s="41"/>
      <c r="D64" s="41"/>
      <c r="E64" s="254" t="s">
        <v>19</v>
      </c>
      <c r="F64" s="41"/>
      <c r="G64" s="43"/>
      <c r="H64" s="44" t="s">
        <v>12</v>
      </c>
      <c r="I64" s="45"/>
      <c r="J64" s="45"/>
      <c r="K64" s="46"/>
      <c r="L64" s="47">
        <f ca="1">IFERROR(__xludf.DUMMYFUNCTION("IMPORTRANGE(""https://docs.google.com/spreadsheets/d/1-uDff_7J0KD5mKrp0Vvzr7lt3OU09vwQwhkpOPPYv2Y/edit?usp=sharing"",""งบพรบ!AC26"")"),439800)</f>
        <v>439800</v>
      </c>
      <c r="M64" s="47">
        <f ca="1">IFERROR(__xludf.DUMMYFUNCTION("IMPORTRANGE(""https://docs.google.com/spreadsheets/d/1-uDff_7J0KD5mKrp0Vvzr7lt3OU09vwQwhkpOPPYv2Y/edit?usp=sharing"",""งบพรบ!AH26"")"),331950)</f>
        <v>331950</v>
      </c>
      <c r="N64" s="47">
        <f ca="1">IFERROR(__xludf.DUMMYFUNCTION("IMPORTRANGE(""https://docs.google.com/spreadsheets/d/1-uDff_7J0KD5mKrp0Vvzr7lt3OU09vwQwhkpOPPYv2Y/edit?usp=sharing"",""งบพรบ!AJ26"")"),198047.15)</f>
        <v>198047.15</v>
      </c>
      <c r="O64" s="47">
        <f ca="1">IF(L64&gt;0,N64*100/L64,0)</f>
        <v>45.031184629376988</v>
      </c>
      <c r="P64" s="47">
        <f ca="1">IF(M64&gt;0,N64*100/M64,0)</f>
        <v>59.661741226088267</v>
      </c>
    </row>
    <row r="65" spans="1:16" ht="18.75" x14ac:dyDescent="0.25">
      <c r="A65" s="40"/>
      <c r="B65" s="41"/>
      <c r="C65" s="41"/>
      <c r="D65" s="42" t="s">
        <v>21</v>
      </c>
      <c r="E65" s="41"/>
      <c r="F65" s="41"/>
      <c r="G65" s="43"/>
      <c r="H65" s="44" t="s">
        <v>12</v>
      </c>
      <c r="I65" s="45"/>
      <c r="J65" s="45"/>
      <c r="K65" s="46"/>
      <c r="L65" s="47">
        <f ca="1">L66+L67</f>
        <v>0</v>
      </c>
      <c r="M65" s="47">
        <f ca="1">M66+M67</f>
        <v>0</v>
      </c>
      <c r="N65" s="47">
        <f ca="1">N66+N67</f>
        <v>0</v>
      </c>
      <c r="O65" s="47">
        <f ca="1">IF(L65&gt;0,N65*100/L65,0)</f>
        <v>0</v>
      </c>
      <c r="P65" s="47">
        <f ca="1">IF(M65&gt;0,N65*100/M65,0)</f>
        <v>0</v>
      </c>
    </row>
    <row r="66" spans="1:16" ht="18.75" hidden="1" x14ac:dyDescent="0.25">
      <c r="A66" s="40"/>
      <c r="B66" s="41"/>
      <c r="C66" s="41"/>
      <c r="D66" s="41"/>
      <c r="E66" s="279" t="s">
        <v>18</v>
      </c>
      <c r="F66" s="41"/>
      <c r="G66" s="43"/>
      <c r="H66" s="49" t="s">
        <v>12</v>
      </c>
      <c r="I66" s="45"/>
      <c r="J66" s="45"/>
      <c r="K66" s="46"/>
      <c r="L66" s="50">
        <v>0</v>
      </c>
      <c r="M66" s="50">
        <v>0</v>
      </c>
      <c r="N66" s="50">
        <v>0</v>
      </c>
      <c r="O66" s="50">
        <f>IF(L66&gt;0,N66*100/L66,0)</f>
        <v>0</v>
      </c>
      <c r="P66" s="50">
        <f>IF(M66&gt;0,N66*100/M66,0)</f>
        <v>0</v>
      </c>
    </row>
    <row r="67" spans="1:16" ht="18.75" x14ac:dyDescent="0.25">
      <c r="A67" s="52"/>
      <c r="B67" s="1"/>
      <c r="C67" s="1"/>
      <c r="D67" s="1"/>
      <c r="E67" s="53" t="s">
        <v>19</v>
      </c>
      <c r="F67" s="1"/>
      <c r="G67" s="54"/>
      <c r="H67" s="55" t="s">
        <v>12</v>
      </c>
      <c r="I67" s="56"/>
      <c r="J67" s="56"/>
      <c r="K67" s="57"/>
      <c r="L67" s="58">
        <f ca="1">IFERROR(__xludf.DUMMYFUNCTION("IMPORTRANGE(""https://docs.google.com/spreadsheets/d/1-uDff_7J0KD5mKrp0Vvzr7lt3OU09vwQwhkpOPPYv2Y/edit?usp=sharing"",""งบพรบ!AF26"")"),0)</f>
        <v>0</v>
      </c>
      <c r="M67" s="58">
        <f ca="1">IFERROR(__xludf.DUMMYFUNCTION("IMPORTRANGE(""https://docs.google.com/spreadsheets/d/1-uDff_7J0KD5mKrp0Vvzr7lt3OU09vwQwhkpOPPYv2Y/edit?usp=sharing"",""งบพรบ!AI26"")"),0)</f>
        <v>0</v>
      </c>
      <c r="N67" s="58">
        <f ca="1">IFERROR(__xludf.DUMMYFUNCTION("IMPORTRANGE(""https://docs.google.com/spreadsheets/d/1-uDff_7J0KD5mKrp0Vvzr7lt3OU09vwQwhkpOPPYv2Y/edit?usp=sharing"",""งบพรบ!AK26"")"),0)</f>
        <v>0</v>
      </c>
      <c r="O67" s="58">
        <f ca="1">IF(L67&gt;0,N67*100/L67,0)</f>
        <v>0</v>
      </c>
      <c r="P67" s="58">
        <f ca="1">IF(M67&gt;0,N67*100/M67,0)</f>
        <v>0</v>
      </c>
    </row>
    <row r="68" spans="1:16" ht="19.5" hidden="1" x14ac:dyDescent="0.3">
      <c r="A68" s="119" t="s">
        <v>29</v>
      </c>
      <c r="B68" s="120"/>
      <c r="C68" s="120"/>
      <c r="D68" s="120"/>
      <c r="E68" s="121"/>
      <c r="F68" s="121"/>
      <c r="G68" s="121"/>
      <c r="H68" s="121"/>
      <c r="I68" s="122"/>
      <c r="J68" s="122"/>
      <c r="K68" s="123"/>
      <c r="L68" s="123"/>
      <c r="M68" s="123"/>
      <c r="N68" s="123"/>
      <c r="O68" s="123"/>
      <c r="P68" s="124"/>
    </row>
    <row r="69" spans="1:16" ht="19.5" hidden="1" x14ac:dyDescent="0.3">
      <c r="A69" s="125" t="s">
        <v>30</v>
      </c>
      <c r="B69" s="126"/>
      <c r="C69" s="127"/>
      <c r="D69" s="126"/>
      <c r="E69" s="126"/>
      <c r="F69" s="126"/>
      <c r="G69" s="128"/>
      <c r="H69" s="128"/>
      <c r="I69" s="129"/>
      <c r="J69" s="129"/>
      <c r="K69" s="130"/>
      <c r="L69" s="130"/>
      <c r="M69" s="130"/>
      <c r="N69" s="130"/>
      <c r="O69" s="130"/>
      <c r="P69" s="130"/>
    </row>
    <row r="70" spans="1:16" ht="19.5" hidden="1" x14ac:dyDescent="0.3">
      <c r="A70" s="131"/>
      <c r="B70" s="132" t="s">
        <v>31</v>
      </c>
      <c r="C70" s="26"/>
      <c r="D70" s="133"/>
      <c r="E70" s="26"/>
      <c r="F70" s="26"/>
      <c r="G70" s="29"/>
      <c r="H70" s="134" t="s">
        <v>32</v>
      </c>
      <c r="I70" s="135">
        <f ca="1">I82</f>
        <v>0</v>
      </c>
      <c r="J70" s="135">
        <f>J82</f>
        <v>0</v>
      </c>
      <c r="K70" s="33">
        <f ca="1">IF(I70&gt;0,J70*100/I70,0)</f>
        <v>0</v>
      </c>
      <c r="L70" s="32"/>
      <c r="M70" s="32"/>
      <c r="N70" s="32"/>
      <c r="O70" s="32"/>
      <c r="P70" s="32"/>
    </row>
    <row r="71" spans="1:16" ht="19.5" hidden="1" x14ac:dyDescent="0.3">
      <c r="A71" s="131"/>
      <c r="B71" s="26"/>
      <c r="C71" s="26"/>
      <c r="D71" s="133"/>
      <c r="E71" s="26"/>
      <c r="F71" s="26"/>
      <c r="G71" s="29"/>
      <c r="H71" s="134" t="s">
        <v>33</v>
      </c>
      <c r="I71" s="135">
        <f ca="1">I83</f>
        <v>0</v>
      </c>
      <c r="J71" s="135">
        <f>J83</f>
        <v>0</v>
      </c>
      <c r="K71" s="33">
        <f ca="1">IF(I71&gt;0,J71*100/I71,0)</f>
        <v>0</v>
      </c>
      <c r="L71" s="32"/>
      <c r="M71" s="32"/>
      <c r="N71" s="32"/>
      <c r="O71" s="32"/>
      <c r="P71" s="32"/>
    </row>
    <row r="72" spans="1:16" ht="19.5" hidden="1" x14ac:dyDescent="0.3">
      <c r="A72" s="136"/>
      <c r="B72" s="41"/>
      <c r="C72" s="197" t="s">
        <v>16</v>
      </c>
      <c r="D72" s="397" t="s">
        <v>17</v>
      </c>
      <c r="E72" s="41"/>
      <c r="F72" s="41"/>
      <c r="G72" s="43"/>
      <c r="H72" s="139" t="s">
        <v>12</v>
      </c>
      <c r="I72" s="45"/>
      <c r="J72" s="45"/>
      <c r="K72" s="46"/>
      <c r="L72" s="140">
        <f ca="1">L73+L74</f>
        <v>0</v>
      </c>
      <c r="M72" s="140">
        <f ca="1">M73+M74</f>
        <v>0</v>
      </c>
      <c r="N72" s="140">
        <f ca="1">N73+N74</f>
        <v>0</v>
      </c>
      <c r="O72" s="140">
        <f ca="1">IF(L72&gt;0,N72*100/L72,0)</f>
        <v>0</v>
      </c>
      <c r="P72" s="140">
        <f ca="1">IF(M72&gt;0,N72*100/M72,0)</f>
        <v>0</v>
      </c>
    </row>
    <row r="73" spans="1:16" ht="18.75" hidden="1" x14ac:dyDescent="0.25">
      <c r="A73" s="136"/>
      <c r="B73" s="41"/>
      <c r="C73" s="41"/>
      <c r="D73" s="41"/>
      <c r="E73" s="279" t="s">
        <v>18</v>
      </c>
      <c r="F73" s="41"/>
      <c r="G73" s="43"/>
      <c r="H73" s="141" t="s">
        <v>12</v>
      </c>
      <c r="I73" s="45"/>
      <c r="J73" s="45"/>
      <c r="K73" s="46"/>
      <c r="L73" s="50">
        <f>L76+L79</f>
        <v>0</v>
      </c>
      <c r="M73" s="50">
        <f>M76+M79</f>
        <v>0</v>
      </c>
      <c r="N73" s="50">
        <f>N76+N79</f>
        <v>0</v>
      </c>
      <c r="O73" s="50">
        <f>IF(L73&gt;0,N73*100/L73,0)</f>
        <v>0</v>
      </c>
      <c r="P73" s="50">
        <f>IF(M73&gt;0,N73*100/M73,0)</f>
        <v>0</v>
      </c>
    </row>
    <row r="74" spans="1:16" ht="18.75" hidden="1" x14ac:dyDescent="0.25">
      <c r="A74" s="136"/>
      <c r="B74" s="41"/>
      <c r="C74" s="41"/>
      <c r="D74" s="41"/>
      <c r="E74" s="254" t="s">
        <v>19</v>
      </c>
      <c r="F74" s="41"/>
      <c r="G74" s="43"/>
      <c r="H74" s="142" t="s">
        <v>12</v>
      </c>
      <c r="I74" s="45"/>
      <c r="J74" s="45"/>
      <c r="K74" s="46"/>
      <c r="L74" s="47">
        <f ca="1">L77+L80</f>
        <v>0</v>
      </c>
      <c r="M74" s="47">
        <f ca="1">M77+M80</f>
        <v>0</v>
      </c>
      <c r="N74" s="47">
        <f ca="1">N77+N80</f>
        <v>0</v>
      </c>
      <c r="O74" s="47">
        <f ca="1">IF(L74&gt;0,N74*100/L74,0)</f>
        <v>0</v>
      </c>
      <c r="P74" s="47">
        <f ca="1">IF(M74&gt;0,N74*100/M74,0)</f>
        <v>0</v>
      </c>
    </row>
    <row r="75" spans="1:16" ht="18.75" hidden="1" x14ac:dyDescent="0.25">
      <c r="A75" s="136"/>
      <c r="B75" s="41"/>
      <c r="C75" s="41"/>
      <c r="D75" s="42" t="s">
        <v>20</v>
      </c>
      <c r="E75" s="41"/>
      <c r="F75" s="41"/>
      <c r="G75" s="43"/>
      <c r="H75" s="143" t="s">
        <v>12</v>
      </c>
      <c r="I75" s="144"/>
      <c r="J75" s="144"/>
      <c r="K75" s="145"/>
      <c r="L75" s="47">
        <f ca="1">L76+L77</f>
        <v>0</v>
      </c>
      <c r="M75" s="47">
        <f ca="1">M76+M77</f>
        <v>0</v>
      </c>
      <c r="N75" s="47">
        <f ca="1">N76+N77</f>
        <v>0</v>
      </c>
      <c r="O75" s="47">
        <f ca="1">IF(L75&gt;0,N75*100/L75,0)</f>
        <v>0</v>
      </c>
      <c r="P75" s="47">
        <f ca="1">IF(M75&gt;0,N75*100/M75,0)</f>
        <v>0</v>
      </c>
    </row>
    <row r="76" spans="1:16" ht="18.75" hidden="1" x14ac:dyDescent="0.25">
      <c r="A76" s="136"/>
      <c r="B76" s="41"/>
      <c r="C76" s="41"/>
      <c r="D76" s="41"/>
      <c r="E76" s="279" t="s">
        <v>34</v>
      </c>
      <c r="F76" s="41"/>
      <c r="G76" s="43"/>
      <c r="H76" s="146" t="s">
        <v>12</v>
      </c>
      <c r="I76" s="144"/>
      <c r="J76" s="144"/>
      <c r="K76" s="145"/>
      <c r="L76" s="50">
        <v>0</v>
      </c>
      <c r="M76" s="50">
        <v>0</v>
      </c>
      <c r="N76" s="50">
        <v>0</v>
      </c>
      <c r="O76" s="50">
        <f>IF(L76&gt;0,N76*100/L76,0)</f>
        <v>0</v>
      </c>
      <c r="P76" s="50">
        <f>IF(M76&gt;0,N76*100/M76,0)</f>
        <v>0</v>
      </c>
    </row>
    <row r="77" spans="1:16" ht="18.75" hidden="1" x14ac:dyDescent="0.25">
      <c r="A77" s="136"/>
      <c r="B77" s="41"/>
      <c r="C77" s="41"/>
      <c r="D77" s="41"/>
      <c r="E77" s="254" t="s">
        <v>35</v>
      </c>
      <c r="F77" s="41"/>
      <c r="G77" s="43"/>
      <c r="H77" s="143" t="s">
        <v>12</v>
      </c>
      <c r="I77" s="144"/>
      <c r="J77" s="144"/>
      <c r="K77" s="145"/>
      <c r="L77" s="47">
        <f ca="1">IFERROR(__xludf.DUMMYFUNCTION("IMPORTRANGE(""https://docs.google.com/spreadsheets/d/1-uDff_7J0KD5mKrp0Vvzr7lt3OU09vwQwhkpOPPYv2Y/edit?usp=sharing"",""งบพรบ!AM26"")"),0)</f>
        <v>0</v>
      </c>
      <c r="M77" s="47">
        <f ca="1">IFERROR(__xludf.DUMMYFUNCTION("IMPORTRANGE(""https://docs.google.com/spreadsheets/d/1-uDff_7J0KD5mKrp0Vvzr7lt3OU09vwQwhkpOPPYv2Y/edit?usp=sharing"",""งบพรบ!AR26"")"),0)</f>
        <v>0</v>
      </c>
      <c r="N77" s="47">
        <f ca="1">IFERROR(__xludf.DUMMYFUNCTION("IMPORTRANGE(""https://docs.google.com/spreadsheets/d/1-uDff_7J0KD5mKrp0Vvzr7lt3OU09vwQwhkpOPPYv2Y/edit?usp=sharing"",""งบพรบ!AT26"")"),0)</f>
        <v>0</v>
      </c>
      <c r="O77" s="47">
        <f ca="1">IF(L77&gt;0,N77*100/L77,0)</f>
        <v>0</v>
      </c>
      <c r="P77" s="47">
        <f ca="1">IF(M77&gt;0,N77*100/M77,0)</f>
        <v>0</v>
      </c>
    </row>
    <row r="78" spans="1:16" ht="18.75" hidden="1" x14ac:dyDescent="0.25">
      <c r="A78" s="136"/>
      <c r="B78" s="41"/>
      <c r="C78" s="41"/>
      <c r="D78" s="42" t="s">
        <v>21</v>
      </c>
      <c r="E78" s="41"/>
      <c r="F78" s="41"/>
      <c r="G78" s="43"/>
      <c r="H78" s="147" t="s">
        <v>12</v>
      </c>
      <c r="I78" s="144"/>
      <c r="J78" s="144"/>
      <c r="K78" s="145"/>
      <c r="L78" s="47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</row>
    <row r="79" spans="1:16" ht="18.75" hidden="1" x14ac:dyDescent="0.25">
      <c r="A79" s="136"/>
      <c r="B79" s="41"/>
      <c r="C79" s="41"/>
      <c r="D79" s="41"/>
      <c r="E79" s="279" t="s">
        <v>18</v>
      </c>
      <c r="F79" s="41"/>
      <c r="G79" s="43"/>
      <c r="H79" s="146" t="s">
        <v>12</v>
      </c>
      <c r="I79" s="144"/>
      <c r="J79" s="144"/>
      <c r="K79" s="145"/>
      <c r="L79" s="50">
        <v>0</v>
      </c>
      <c r="M79" s="46"/>
      <c r="N79" s="46"/>
      <c r="O79" s="50">
        <f>IF(L79&gt;0,N79*100/L79,0)</f>
        <v>0</v>
      </c>
      <c r="P79" s="50">
        <f>IF(M79&gt;0,N79*100/M79,0)</f>
        <v>0</v>
      </c>
    </row>
    <row r="80" spans="1:16" ht="18.75" hidden="1" x14ac:dyDescent="0.25">
      <c r="A80" s="136"/>
      <c r="B80" s="41"/>
      <c r="C80" s="41"/>
      <c r="D80" s="41"/>
      <c r="E80" s="254" t="s">
        <v>19</v>
      </c>
      <c r="F80" s="41"/>
      <c r="G80" s="43"/>
      <c r="H80" s="147" t="s">
        <v>12</v>
      </c>
      <c r="I80" s="144"/>
      <c r="J80" s="144"/>
      <c r="K80" s="145"/>
      <c r="L80" s="47">
        <f ca="1">IFERROR(__xludf.DUMMYFUNCTION("IMPORTRANGE(""https://docs.google.com/spreadsheets/d/1-uDff_7J0KD5mKrp0Vvzr7lt3OU09vwQwhkpOPPYv2Y/edit?usp=sharing"",""งบพรบ!AP26"")"),0)</f>
        <v>0</v>
      </c>
      <c r="M80" s="47">
        <f ca="1">IFERROR(__xludf.DUMMYFUNCTION("IMPORTRANGE(""https://docs.google.com/spreadsheets/d/1-uDff_7J0KD5mKrp0Vvzr7lt3OU09vwQwhkpOPPYv2Y/edit?usp=sharing"",""งบพรบ!AS26"")"),0)</f>
        <v>0</v>
      </c>
      <c r="N80" s="47">
        <f ca="1">IFERROR(__xludf.DUMMYFUNCTION("IMPORTRANGE(""https://docs.google.com/spreadsheets/d/1-uDff_7J0KD5mKrp0Vvzr7lt3OU09vwQwhkpOPPYv2Y/edit?usp=sharing"",""งบพรบ!AU26"")"),0)</f>
        <v>0</v>
      </c>
      <c r="O80" s="47">
        <f ca="1">IF(L80&gt;0,N80*100/L80,0)</f>
        <v>0</v>
      </c>
      <c r="P80" s="47">
        <f ca="1">IF(M80&gt;0,N80*100/M80,0)</f>
        <v>0</v>
      </c>
    </row>
    <row r="81" spans="1:16" ht="19.5" hidden="1" x14ac:dyDescent="0.3">
      <c r="A81" s="148"/>
      <c r="B81" s="149"/>
      <c r="C81" s="197" t="s">
        <v>16</v>
      </c>
      <c r="D81" s="395" t="s">
        <v>36</v>
      </c>
      <c r="E81" s="151"/>
      <c r="F81" s="151"/>
      <c r="G81" s="152"/>
      <c r="H81" s="153"/>
      <c r="I81" s="144"/>
      <c r="J81" s="144"/>
      <c r="K81" s="145"/>
      <c r="L81" s="145"/>
      <c r="M81" s="145"/>
      <c r="N81" s="145"/>
      <c r="O81" s="145"/>
      <c r="P81" s="145"/>
    </row>
    <row r="82" spans="1:16" ht="19.5" hidden="1" x14ac:dyDescent="0.3">
      <c r="A82" s="148"/>
      <c r="B82" s="149"/>
      <c r="C82" s="149"/>
      <c r="D82" s="154" t="s">
        <v>37</v>
      </c>
      <c r="E82" s="155"/>
      <c r="F82" s="155"/>
      <c r="G82" s="153"/>
      <c r="H82" s="156" t="s">
        <v>32</v>
      </c>
      <c r="I82" s="157">
        <f ca="1">I84+I86+I88</f>
        <v>0</v>
      </c>
      <c r="J82" s="157">
        <f>J84+J86+J88</f>
        <v>0</v>
      </c>
      <c r="K82" s="158">
        <f ca="1">IF(I82&gt;0,J82*100/I82,0)</f>
        <v>0</v>
      </c>
      <c r="L82" s="145"/>
      <c r="M82" s="145"/>
      <c r="N82" s="145"/>
      <c r="O82" s="145"/>
      <c r="P82" s="145"/>
    </row>
    <row r="83" spans="1:16" ht="19.5" hidden="1" x14ac:dyDescent="0.3">
      <c r="A83" s="148"/>
      <c r="B83" s="149"/>
      <c r="C83" s="149"/>
      <c r="D83" s="149"/>
      <c r="E83" s="155"/>
      <c r="F83" s="155"/>
      <c r="G83" s="153"/>
      <c r="H83" s="156" t="s">
        <v>33</v>
      </c>
      <c r="I83" s="157">
        <f ca="1">I85+I87+I89</f>
        <v>0</v>
      </c>
      <c r="J83" s="157">
        <f>J85+J87+J89</f>
        <v>0</v>
      </c>
      <c r="K83" s="158">
        <f ca="1">IF(I83&gt;0,J83*100/I83,0)</f>
        <v>0</v>
      </c>
      <c r="L83" s="145"/>
      <c r="M83" s="145"/>
      <c r="N83" s="145"/>
      <c r="O83" s="145"/>
      <c r="P83" s="145"/>
    </row>
    <row r="84" spans="1:16" ht="18.75" hidden="1" x14ac:dyDescent="0.25">
      <c r="A84" s="148"/>
      <c r="B84" s="149"/>
      <c r="C84" s="149"/>
      <c r="D84" s="149"/>
      <c r="E84" s="159" t="s">
        <v>38</v>
      </c>
      <c r="F84" s="155"/>
      <c r="G84" s="153"/>
      <c r="H84" s="251" t="s">
        <v>32</v>
      </c>
      <c r="I84" s="161">
        <f ca="1">IFERROR(__xludf.DUMMYFUNCTION("IMPORTRANGE(""https://docs.google.com/spreadsheets/d/1eHaY18a8A9IcSdp1K8H6x8fbOy06t2VsZHhMHf-1x7Y/edit?usp=sharing"",""แผน!H26"")"),0)</f>
        <v>0</v>
      </c>
      <c r="J84" s="250">
        <v>0</v>
      </c>
      <c r="K84" s="163">
        <f ca="1">IF(I84&gt;0,J84*100/I84,0)</f>
        <v>0</v>
      </c>
      <c r="L84" s="145"/>
      <c r="M84" s="145"/>
      <c r="N84" s="145"/>
      <c r="O84" s="145"/>
      <c r="P84" s="145"/>
    </row>
    <row r="85" spans="1:16" ht="18.75" hidden="1" x14ac:dyDescent="0.25">
      <c r="A85" s="148"/>
      <c r="B85" s="149"/>
      <c r="C85" s="149"/>
      <c r="D85" s="149"/>
      <c r="E85" s="155"/>
      <c r="F85" s="155"/>
      <c r="G85" s="153"/>
      <c r="H85" s="251" t="s">
        <v>33</v>
      </c>
      <c r="I85" s="161">
        <f ca="1">IFERROR(__xludf.DUMMYFUNCTION("IMPORTRANGE(""https://docs.google.com/spreadsheets/d/1eHaY18a8A9IcSdp1K8H6x8fbOy06t2VsZHhMHf-1x7Y/edit?usp=sharing"",""แผน!I26"")"),0)</f>
        <v>0</v>
      </c>
      <c r="J85" s="250">
        <v>0</v>
      </c>
      <c r="K85" s="163">
        <f ca="1">IF(I85&gt;0,J85*100/I85,0)</f>
        <v>0</v>
      </c>
      <c r="L85" s="145"/>
      <c r="M85" s="145"/>
      <c r="N85" s="145"/>
      <c r="O85" s="145"/>
      <c r="P85" s="145"/>
    </row>
    <row r="86" spans="1:16" ht="18.75" hidden="1" x14ac:dyDescent="0.25">
      <c r="A86" s="148"/>
      <c r="B86" s="149"/>
      <c r="C86" s="149"/>
      <c r="D86" s="149"/>
      <c r="E86" s="159" t="s">
        <v>39</v>
      </c>
      <c r="F86" s="155"/>
      <c r="G86" s="153"/>
      <c r="H86" s="251" t="s">
        <v>32</v>
      </c>
      <c r="I86" s="161">
        <f ca="1">IFERROR(__xludf.DUMMYFUNCTION("IMPORTRANGE(""https://docs.google.com/spreadsheets/d/1eHaY18a8A9IcSdp1K8H6x8fbOy06t2VsZHhMHf-1x7Y/edit?usp=sharing"",""แผน!F26"")"),0)</f>
        <v>0</v>
      </c>
      <c r="J86" s="250">
        <v>0</v>
      </c>
      <c r="K86" s="163">
        <f ca="1">IF(I86&gt;0,J86*100/I86,0)</f>
        <v>0</v>
      </c>
      <c r="L86" s="145"/>
      <c r="M86" s="145"/>
      <c r="N86" s="145"/>
      <c r="O86" s="145"/>
      <c r="P86" s="145"/>
    </row>
    <row r="87" spans="1:16" ht="18.75" hidden="1" x14ac:dyDescent="0.25">
      <c r="A87" s="148"/>
      <c r="B87" s="149"/>
      <c r="C87" s="149"/>
      <c r="D87" s="149"/>
      <c r="E87" s="155"/>
      <c r="F87" s="155"/>
      <c r="G87" s="153"/>
      <c r="H87" s="251" t="s">
        <v>33</v>
      </c>
      <c r="I87" s="161">
        <f ca="1">IFERROR(__xludf.DUMMYFUNCTION("IMPORTRANGE(""https://docs.google.com/spreadsheets/d/1eHaY18a8A9IcSdp1K8H6x8fbOy06t2VsZHhMHf-1x7Y/edit?usp=sharing"",""แผน!G26"")"),0)</f>
        <v>0</v>
      </c>
      <c r="J87" s="250">
        <v>0</v>
      </c>
      <c r="K87" s="163">
        <f ca="1">IF(I87&gt;0,J87*100/I87,0)</f>
        <v>0</v>
      </c>
      <c r="L87" s="145"/>
      <c r="M87" s="145"/>
      <c r="N87" s="145"/>
      <c r="O87" s="145"/>
      <c r="P87" s="145"/>
    </row>
    <row r="88" spans="1:16" ht="18.75" hidden="1" x14ac:dyDescent="0.25">
      <c r="A88" s="148"/>
      <c r="B88" s="149"/>
      <c r="C88" s="149"/>
      <c r="D88" s="149"/>
      <c r="E88" s="159" t="s">
        <v>40</v>
      </c>
      <c r="F88" s="155"/>
      <c r="G88" s="153"/>
      <c r="H88" s="251" t="s">
        <v>32</v>
      </c>
      <c r="I88" s="161">
        <f ca="1">IFERROR(__xludf.DUMMYFUNCTION("IMPORTRANGE(""https://docs.google.com/spreadsheets/d/1eHaY18a8A9IcSdp1K8H6x8fbOy06t2VsZHhMHf-1x7Y/edit?usp=sharing"",""แผน!D26"")"),0)</f>
        <v>0</v>
      </c>
      <c r="J88" s="250">
        <v>0</v>
      </c>
      <c r="K88" s="163">
        <f ca="1">IF(I88&gt;0,J88*100/I88,0)</f>
        <v>0</v>
      </c>
      <c r="L88" s="145"/>
      <c r="M88" s="145"/>
      <c r="N88" s="145"/>
      <c r="O88" s="145"/>
      <c r="P88" s="145"/>
    </row>
    <row r="89" spans="1:16" ht="18.75" hidden="1" x14ac:dyDescent="0.25">
      <c r="A89" s="148"/>
      <c r="B89" s="149"/>
      <c r="C89" s="149"/>
      <c r="D89" s="149"/>
      <c r="E89" s="155"/>
      <c r="F89" s="155"/>
      <c r="G89" s="153"/>
      <c r="H89" s="251" t="s">
        <v>33</v>
      </c>
      <c r="I89" s="161">
        <f ca="1">IFERROR(__xludf.DUMMYFUNCTION("IMPORTRANGE(""https://docs.google.com/spreadsheets/d/1eHaY18a8A9IcSdp1K8H6x8fbOy06t2VsZHhMHf-1x7Y/edit?usp=sharing"",""แผน!E26"")"),0)</f>
        <v>0</v>
      </c>
      <c r="J89" s="250">
        <v>0</v>
      </c>
      <c r="K89" s="163">
        <f ca="1">IF(I89&gt;0,J89*100/I89,0)</f>
        <v>0</v>
      </c>
      <c r="L89" s="145"/>
      <c r="M89" s="145"/>
      <c r="N89" s="145"/>
      <c r="O89" s="145"/>
      <c r="P89" s="145"/>
    </row>
    <row r="90" spans="1:16" ht="18.75" hidden="1" x14ac:dyDescent="0.25">
      <c r="A90" s="148"/>
      <c r="B90" s="149"/>
      <c r="C90" s="149"/>
      <c r="D90" s="154" t="s">
        <v>41</v>
      </c>
      <c r="E90" s="155"/>
      <c r="F90" s="155"/>
      <c r="G90" s="153"/>
      <c r="H90" s="164" t="s">
        <v>32</v>
      </c>
      <c r="I90" s="161">
        <f ca="1">IFERROR(__xludf.DUMMYFUNCTION("IMPORTRANGE(""https://docs.google.com/spreadsheets/d/1eHaY18a8A9IcSdp1K8H6x8fbOy06t2VsZHhMHf-1x7Y/edit?usp=sharing"",""แผน!J26"")"),0)</f>
        <v>0</v>
      </c>
      <c r="J90" s="250">
        <v>0</v>
      </c>
      <c r="K90" s="163">
        <f ca="1">IF(I90&gt;0,J90*100/I90,0)</f>
        <v>0</v>
      </c>
      <c r="L90" s="145"/>
      <c r="M90" s="145"/>
      <c r="N90" s="145"/>
      <c r="O90" s="145"/>
      <c r="P90" s="145"/>
    </row>
    <row r="91" spans="1:16" ht="19.5" hidden="1" x14ac:dyDescent="0.3">
      <c r="A91" s="125" t="s">
        <v>42</v>
      </c>
      <c r="B91" s="126"/>
      <c r="C91" s="127"/>
      <c r="D91" s="126"/>
      <c r="E91" s="126"/>
      <c r="F91" s="126"/>
      <c r="G91" s="128"/>
      <c r="H91" s="128"/>
      <c r="I91" s="129"/>
      <c r="J91" s="129"/>
      <c r="K91" s="130"/>
      <c r="L91" s="130"/>
      <c r="M91" s="130"/>
      <c r="N91" s="130"/>
      <c r="O91" s="130"/>
      <c r="P91" s="130"/>
    </row>
    <row r="92" spans="1:16" ht="19.5" hidden="1" x14ac:dyDescent="0.3">
      <c r="A92" s="131"/>
      <c r="B92" s="132" t="s">
        <v>43</v>
      </c>
      <c r="C92" s="26"/>
      <c r="D92" s="133"/>
      <c r="E92" s="26"/>
      <c r="F92" s="26"/>
      <c r="G92" s="29"/>
      <c r="H92" s="134" t="s">
        <v>44</v>
      </c>
      <c r="I92" s="135">
        <f ca="1">I108</f>
        <v>0</v>
      </c>
      <c r="J92" s="135">
        <f>J108</f>
        <v>0</v>
      </c>
      <c r="K92" s="33">
        <f ca="1">IF(I92&gt;0,J92*100/I92,0)</f>
        <v>0</v>
      </c>
      <c r="L92" s="32"/>
      <c r="M92" s="32"/>
      <c r="N92" s="32"/>
      <c r="O92" s="32"/>
      <c r="P92" s="32"/>
    </row>
    <row r="93" spans="1:16" ht="19.5" hidden="1" x14ac:dyDescent="0.3">
      <c r="A93" s="131"/>
      <c r="B93" s="26"/>
      <c r="C93" s="26"/>
      <c r="D93" s="133"/>
      <c r="E93" s="26"/>
      <c r="F93" s="26"/>
      <c r="G93" s="29"/>
      <c r="H93" s="134" t="s">
        <v>33</v>
      </c>
      <c r="I93" s="135">
        <f ca="1">I109</f>
        <v>0</v>
      </c>
      <c r="J93" s="135">
        <f>J109</f>
        <v>0</v>
      </c>
      <c r="K93" s="33">
        <f ca="1">IF(I93&gt;0,J93*100/I93,0)</f>
        <v>0</v>
      </c>
      <c r="L93" s="32"/>
      <c r="M93" s="32"/>
      <c r="N93" s="32"/>
      <c r="O93" s="32"/>
      <c r="P93" s="32"/>
    </row>
    <row r="94" spans="1:16" ht="19.5" hidden="1" x14ac:dyDescent="0.3">
      <c r="A94" s="136"/>
      <c r="B94" s="41"/>
      <c r="C94" s="197" t="s">
        <v>16</v>
      </c>
      <c r="D94" s="397" t="s">
        <v>17</v>
      </c>
      <c r="E94" s="41"/>
      <c r="F94" s="41"/>
      <c r="G94" s="43"/>
      <c r="H94" s="139" t="s">
        <v>12</v>
      </c>
      <c r="I94" s="45"/>
      <c r="J94" s="45"/>
      <c r="K94" s="46"/>
      <c r="L94" s="140">
        <f ca="1">L95+L96</f>
        <v>0</v>
      </c>
      <c r="M94" s="140">
        <f ca="1">M95+M96</f>
        <v>0</v>
      </c>
      <c r="N94" s="140">
        <f ca="1">N95+N96</f>
        <v>0</v>
      </c>
      <c r="O94" s="140">
        <f ca="1">IF(L94&gt;0,N94*100/L94,0)</f>
        <v>0</v>
      </c>
      <c r="P94" s="140">
        <f ca="1">IF(M94&gt;0,N94*100/M94,0)</f>
        <v>0</v>
      </c>
    </row>
    <row r="95" spans="1:16" ht="18.75" hidden="1" x14ac:dyDescent="0.25">
      <c r="A95" s="136"/>
      <c r="B95" s="41"/>
      <c r="C95" s="41"/>
      <c r="D95" s="41"/>
      <c r="E95" s="279" t="s">
        <v>18</v>
      </c>
      <c r="F95" s="41"/>
      <c r="G95" s="43"/>
      <c r="H95" s="141" t="s">
        <v>12</v>
      </c>
      <c r="I95" s="45"/>
      <c r="J95" s="45"/>
      <c r="K95" s="46"/>
      <c r="L95" s="50">
        <f>L98+L101</f>
        <v>0</v>
      </c>
      <c r="M95" s="50">
        <f>M98+M101</f>
        <v>0</v>
      </c>
      <c r="N95" s="50">
        <f>N98+N101</f>
        <v>0</v>
      </c>
      <c r="O95" s="50">
        <f>IF(L95&gt;0,N95*100/L95,0)</f>
        <v>0</v>
      </c>
      <c r="P95" s="50">
        <f>IF(M95&gt;0,N95*100/M95,0)</f>
        <v>0</v>
      </c>
    </row>
    <row r="96" spans="1:16" ht="18.75" hidden="1" x14ac:dyDescent="0.25">
      <c r="A96" s="136"/>
      <c r="B96" s="41"/>
      <c r="C96" s="41"/>
      <c r="D96" s="41"/>
      <c r="E96" s="254" t="s">
        <v>19</v>
      </c>
      <c r="F96" s="41"/>
      <c r="G96" s="43"/>
      <c r="H96" s="142" t="s">
        <v>12</v>
      </c>
      <c r="I96" s="45"/>
      <c r="J96" s="45"/>
      <c r="K96" s="46"/>
      <c r="L96" s="47">
        <f ca="1">L99+L102</f>
        <v>0</v>
      </c>
      <c r="M96" s="47">
        <f ca="1">M99+M102</f>
        <v>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</row>
    <row r="97" spans="1:16" ht="18.75" hidden="1" x14ac:dyDescent="0.25">
      <c r="A97" s="136"/>
      <c r="B97" s="41"/>
      <c r="C97" s="41"/>
      <c r="D97" s="42" t="s">
        <v>20</v>
      </c>
      <c r="E97" s="41"/>
      <c r="F97" s="41"/>
      <c r="G97" s="43"/>
      <c r="H97" s="143" t="s">
        <v>12</v>
      </c>
      <c r="I97" s="144"/>
      <c r="J97" s="144"/>
      <c r="K97" s="145"/>
      <c r="L97" s="47">
        <f ca="1">L98+L99</f>
        <v>0</v>
      </c>
      <c r="M97" s="47">
        <f ca="1">M98+M99</f>
        <v>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</row>
    <row r="98" spans="1:16" ht="18.75" hidden="1" x14ac:dyDescent="0.25">
      <c r="A98" s="136"/>
      <c r="B98" s="41"/>
      <c r="C98" s="41"/>
      <c r="D98" s="41"/>
      <c r="E98" s="279" t="s">
        <v>34</v>
      </c>
      <c r="F98" s="41"/>
      <c r="G98" s="43"/>
      <c r="H98" s="146" t="s">
        <v>12</v>
      </c>
      <c r="I98" s="144"/>
      <c r="J98" s="144"/>
      <c r="K98" s="145"/>
      <c r="L98" s="50">
        <v>0</v>
      </c>
      <c r="M98" s="50">
        <v>0</v>
      </c>
      <c r="N98" s="50">
        <v>0</v>
      </c>
      <c r="O98" s="50">
        <f>IF(L98&gt;0,N98*100/L98,0)</f>
        <v>0</v>
      </c>
      <c r="P98" s="50">
        <f>IF(M98&gt;0,N98*100/M98,0)</f>
        <v>0</v>
      </c>
    </row>
    <row r="99" spans="1:16" ht="18.75" hidden="1" x14ac:dyDescent="0.25">
      <c r="A99" s="136"/>
      <c r="B99" s="41"/>
      <c r="C99" s="41"/>
      <c r="D99" s="41"/>
      <c r="E99" s="254" t="s">
        <v>35</v>
      </c>
      <c r="F99" s="41"/>
      <c r="G99" s="43"/>
      <c r="H99" s="143" t="s">
        <v>12</v>
      </c>
      <c r="I99" s="144"/>
      <c r="J99" s="144"/>
      <c r="K99" s="145"/>
      <c r="L99" s="47">
        <f ca="1">IFERROR(__xludf.DUMMYFUNCTION("IMPORTRANGE(""https://docs.google.com/spreadsheets/d/1-uDff_7J0KD5mKrp0Vvzr7lt3OU09vwQwhkpOPPYv2Y/edit?usp=sharing"",""งบพรบ!AW26"")"),0)</f>
        <v>0</v>
      </c>
      <c r="M99" s="47">
        <f ca="1">IFERROR(__xludf.DUMMYFUNCTION("IMPORTRANGE(""https://docs.google.com/spreadsheets/d/1-uDff_7J0KD5mKrp0Vvzr7lt3OU09vwQwhkpOPPYv2Y/edit?usp=sharing"",""งบพรบ!BB26"")"),0)</f>
        <v>0</v>
      </c>
      <c r="N99" s="47">
        <f ca="1">IFERROR(__xludf.DUMMYFUNCTION("IMPORTRANGE(""https://docs.google.com/spreadsheets/d/1-uDff_7J0KD5mKrp0Vvzr7lt3OU09vwQwhkpOPPYv2Y/edit?usp=sharing"",""งบพรบ!BD26"")"),0)</f>
        <v>0</v>
      </c>
      <c r="O99" s="47">
        <f ca="1">IF(L99&gt;0,N99*100/L99,0)</f>
        <v>0</v>
      </c>
      <c r="P99" s="47">
        <f ca="1">IF(M99&gt;0,N99*100/M99,0)</f>
        <v>0</v>
      </c>
    </row>
    <row r="100" spans="1:16" ht="18.75" hidden="1" x14ac:dyDescent="0.25">
      <c r="A100" s="136"/>
      <c r="B100" s="41"/>
      <c r="C100" s="41"/>
      <c r="D100" s="42" t="s">
        <v>21</v>
      </c>
      <c r="E100" s="41"/>
      <c r="F100" s="41"/>
      <c r="G100" s="43"/>
      <c r="H100" s="147" t="s">
        <v>12</v>
      </c>
      <c r="I100" s="144"/>
      <c r="J100" s="144"/>
      <c r="K100" s="145"/>
      <c r="L100" s="47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</row>
    <row r="101" spans="1:16" ht="18.75" hidden="1" x14ac:dyDescent="0.25">
      <c r="A101" s="136"/>
      <c r="B101" s="41"/>
      <c r="C101" s="41"/>
      <c r="D101" s="41"/>
      <c r="E101" s="279" t="s">
        <v>18</v>
      </c>
      <c r="F101" s="41"/>
      <c r="G101" s="43"/>
      <c r="H101" s="146" t="s">
        <v>12</v>
      </c>
      <c r="I101" s="144"/>
      <c r="J101" s="144"/>
      <c r="K101" s="145"/>
      <c r="L101" s="50">
        <v>0</v>
      </c>
      <c r="M101" s="50">
        <v>0</v>
      </c>
      <c r="N101" s="50">
        <v>0</v>
      </c>
      <c r="O101" s="50">
        <f>IF(L101&gt;0,N101*100/L101,0)</f>
        <v>0</v>
      </c>
      <c r="P101" s="50">
        <f>IF(M101&gt;0,N101*100/M101,0)</f>
        <v>0</v>
      </c>
    </row>
    <row r="102" spans="1:16" ht="18.75" hidden="1" x14ac:dyDescent="0.25">
      <c r="A102" s="136"/>
      <c r="B102" s="41"/>
      <c r="C102" s="41"/>
      <c r="D102" s="41"/>
      <c r="E102" s="254" t="s">
        <v>19</v>
      </c>
      <c r="F102" s="41"/>
      <c r="G102" s="43"/>
      <c r="H102" s="147" t="s">
        <v>12</v>
      </c>
      <c r="I102" s="144"/>
      <c r="J102" s="144"/>
      <c r="K102" s="145"/>
      <c r="L102" s="47">
        <f ca="1">IFERROR(__xludf.DUMMYFUNCTION("IMPORTRANGE(""https://docs.google.com/spreadsheets/d/1-uDff_7J0KD5mKrp0Vvzr7lt3OU09vwQwhkpOPPYv2Y/edit?usp=sharing"",""งบพรบ!AZ26"")"),0)</f>
        <v>0</v>
      </c>
      <c r="M102" s="47">
        <f ca="1">IFERROR(__xludf.DUMMYFUNCTION("IMPORTRANGE(""https://docs.google.com/spreadsheets/d/1-uDff_7J0KD5mKrp0Vvzr7lt3OU09vwQwhkpOPPYv2Y/edit?usp=sharing"",""งบพรบ!BC26"")"),0)</f>
        <v>0</v>
      </c>
      <c r="N102" s="47">
        <f ca="1">IFERROR(__xludf.DUMMYFUNCTION("IMPORTRANGE(""https://docs.google.com/spreadsheets/d/1-uDff_7J0KD5mKrp0Vvzr7lt3OU09vwQwhkpOPPYv2Y/edit?usp=sharing"",""งบพรบ!BE26"")"),0)</f>
        <v>0</v>
      </c>
      <c r="O102" s="47">
        <f ca="1">IF(L102&gt;0,N102*100/L102,0)</f>
        <v>0</v>
      </c>
      <c r="P102" s="47">
        <f ca="1">IF(M102&gt;0,N102*100/M102,0)</f>
        <v>0</v>
      </c>
    </row>
    <row r="103" spans="1:16" ht="19.5" hidden="1" x14ac:dyDescent="0.3">
      <c r="A103" s="148"/>
      <c r="B103" s="149"/>
      <c r="C103" s="197" t="s">
        <v>16</v>
      </c>
      <c r="D103" s="395" t="s">
        <v>36</v>
      </c>
      <c r="E103" s="151"/>
      <c r="F103" s="151"/>
      <c r="G103" s="152"/>
      <c r="H103" s="153"/>
      <c r="I103" s="144"/>
      <c r="J103" s="45"/>
      <c r="K103" s="46"/>
      <c r="L103" s="46"/>
      <c r="M103" s="46"/>
      <c r="N103" s="46"/>
      <c r="O103" s="145"/>
      <c r="P103" s="145"/>
    </row>
    <row r="104" spans="1:16" ht="12.75" hidden="1" x14ac:dyDescent="0.2">
      <c r="A104" s="165"/>
      <c r="B104" s="166"/>
      <c r="C104" s="166"/>
      <c r="D104" s="16"/>
      <c r="E104" s="16"/>
      <c r="F104" s="16"/>
      <c r="G104" s="17"/>
      <c r="H104" s="17"/>
      <c r="I104" s="18"/>
      <c r="J104" s="18"/>
      <c r="K104" s="19"/>
      <c r="L104" s="19"/>
      <c r="M104" s="19"/>
      <c r="N104" s="19"/>
      <c r="O104" s="19"/>
      <c r="P104" s="19"/>
    </row>
    <row r="105" spans="1:16" ht="12.75" hidden="1" x14ac:dyDescent="0.2">
      <c r="A105" s="165"/>
      <c r="B105" s="166"/>
      <c r="C105" s="166"/>
      <c r="D105" s="16"/>
      <c r="E105" s="16"/>
      <c r="F105" s="16"/>
      <c r="G105" s="17"/>
      <c r="H105" s="17"/>
      <c r="I105" s="18"/>
      <c r="J105" s="18"/>
      <c r="K105" s="19"/>
      <c r="L105" s="19"/>
      <c r="M105" s="19"/>
      <c r="N105" s="19"/>
      <c r="O105" s="19"/>
      <c r="P105" s="19"/>
    </row>
    <row r="106" spans="1:16" ht="12.75" hidden="1" x14ac:dyDescent="0.2">
      <c r="A106" s="165"/>
      <c r="B106" s="166"/>
      <c r="C106" s="166"/>
      <c r="D106" s="166"/>
      <c r="E106" s="16"/>
      <c r="F106" s="16"/>
      <c r="G106" s="17"/>
      <c r="H106" s="17"/>
      <c r="I106" s="18"/>
      <c r="J106" s="18"/>
      <c r="K106" s="19"/>
      <c r="L106" s="19"/>
      <c r="M106" s="19"/>
      <c r="N106" s="19"/>
      <c r="O106" s="19"/>
      <c r="P106" s="19"/>
    </row>
    <row r="107" spans="1:16" ht="19.5" hidden="1" x14ac:dyDescent="0.3">
      <c r="A107" s="148"/>
      <c r="B107" s="149"/>
      <c r="C107" s="149"/>
      <c r="D107" s="167" t="s">
        <v>45</v>
      </c>
      <c r="E107" s="168"/>
      <c r="F107" s="155"/>
      <c r="G107" s="153"/>
      <c r="H107" s="43"/>
      <c r="I107" s="45"/>
      <c r="J107" s="45"/>
      <c r="K107" s="46"/>
      <c r="L107" s="46"/>
      <c r="M107" s="46"/>
      <c r="N107" s="46"/>
      <c r="O107" s="145"/>
      <c r="P107" s="145"/>
    </row>
    <row r="108" spans="1:16" ht="18.75" hidden="1" x14ac:dyDescent="0.25">
      <c r="A108" s="148"/>
      <c r="B108" s="149"/>
      <c r="C108" s="149"/>
      <c r="D108" s="159" t="s">
        <v>46</v>
      </c>
      <c r="E108" s="155"/>
      <c r="F108" s="155"/>
      <c r="G108" s="153"/>
      <c r="H108" s="44" t="s">
        <v>44</v>
      </c>
      <c r="I108" s="169">
        <f ca="1">IFERROR(__xludf.DUMMYFUNCTION("IMPORTRANGE(""https://docs.google.com/spreadsheets/d/1eHaY18a8A9IcSdp1K8H6x8fbOy06t2VsZHhMHf-1x7Y/edit?usp=sharing"",""แผน!N26"")"),0)</f>
        <v>0</v>
      </c>
      <c r="J108" s="250">
        <v>0</v>
      </c>
      <c r="K108" s="47">
        <f ca="1">IF(I108&gt;0,J108*100/I108,0)</f>
        <v>0</v>
      </c>
      <c r="L108" s="46"/>
      <c r="M108" s="46"/>
      <c r="N108" s="46"/>
      <c r="O108" s="145"/>
      <c r="P108" s="145"/>
    </row>
    <row r="109" spans="1:16" ht="18.75" hidden="1" x14ac:dyDescent="0.25">
      <c r="A109" s="148"/>
      <c r="B109" s="149"/>
      <c r="C109" s="149"/>
      <c r="D109" s="159" t="s">
        <v>47</v>
      </c>
      <c r="E109" s="155"/>
      <c r="F109" s="155"/>
      <c r="G109" s="153"/>
      <c r="H109" s="44" t="s">
        <v>33</v>
      </c>
      <c r="I109" s="169">
        <f ca="1">IFERROR(__xludf.DUMMYFUNCTION("IMPORTRANGE(""https://docs.google.com/spreadsheets/d/1eHaY18a8A9IcSdp1K8H6x8fbOy06t2VsZHhMHf-1x7Y/edit?usp=sharing"",""แผน!O26"")"),0)</f>
        <v>0</v>
      </c>
      <c r="J109" s="250">
        <v>0</v>
      </c>
      <c r="K109" s="47">
        <f ca="1">IF(I109&gt;0,J109*100/I109,0)</f>
        <v>0</v>
      </c>
      <c r="L109" s="46"/>
      <c r="M109" s="46"/>
      <c r="N109" s="46"/>
      <c r="O109" s="145"/>
      <c r="P109" s="145"/>
    </row>
    <row r="110" spans="1:16" ht="12.75" hidden="1" x14ac:dyDescent="0.2">
      <c r="A110" s="165"/>
      <c r="B110" s="166"/>
      <c r="C110" s="166"/>
      <c r="D110" s="16"/>
      <c r="E110" s="16"/>
      <c r="F110" s="16"/>
      <c r="G110" s="17"/>
      <c r="H110" s="17"/>
      <c r="I110" s="18"/>
      <c r="J110" s="18"/>
      <c r="K110" s="19"/>
      <c r="L110" s="19"/>
      <c r="M110" s="19"/>
      <c r="N110" s="19"/>
      <c r="O110" s="19"/>
      <c r="P110" s="19"/>
    </row>
    <row r="111" spans="1:16" ht="12.75" hidden="1" x14ac:dyDescent="0.2">
      <c r="A111" s="165"/>
      <c r="B111" s="166"/>
      <c r="C111" s="166"/>
      <c r="D111" s="16"/>
      <c r="E111" s="16"/>
      <c r="F111" s="16"/>
      <c r="G111" s="17"/>
      <c r="H111" s="17"/>
      <c r="I111" s="18"/>
      <c r="J111" s="18"/>
      <c r="K111" s="19"/>
      <c r="L111" s="19"/>
      <c r="M111" s="19"/>
      <c r="N111" s="19"/>
      <c r="O111" s="19"/>
      <c r="P111" s="19"/>
    </row>
    <row r="112" spans="1:16" ht="12.75" hidden="1" x14ac:dyDescent="0.2">
      <c r="A112" s="165"/>
      <c r="B112" s="166"/>
      <c r="C112" s="166"/>
      <c r="D112" s="16"/>
      <c r="E112" s="16"/>
      <c r="F112" s="16"/>
      <c r="G112" s="17"/>
      <c r="H112" s="17"/>
      <c r="I112" s="18"/>
      <c r="J112" s="18"/>
      <c r="K112" s="19"/>
      <c r="L112" s="19"/>
      <c r="M112" s="19"/>
      <c r="N112" s="19"/>
      <c r="O112" s="19"/>
      <c r="P112" s="19"/>
    </row>
    <row r="113" spans="1:16" ht="12.75" hidden="1" x14ac:dyDescent="0.2">
      <c r="A113" s="165"/>
      <c r="B113" s="166"/>
      <c r="C113" s="166"/>
      <c r="D113" s="16"/>
      <c r="E113" s="16"/>
      <c r="F113" s="16"/>
      <c r="G113" s="17"/>
      <c r="H113" s="17"/>
      <c r="I113" s="18"/>
      <c r="J113" s="18"/>
      <c r="K113" s="19"/>
      <c r="L113" s="19"/>
      <c r="M113" s="19"/>
      <c r="N113" s="19"/>
      <c r="O113" s="19"/>
      <c r="P113" s="19"/>
    </row>
    <row r="114" spans="1:16" ht="12.75" hidden="1" x14ac:dyDescent="0.2">
      <c r="A114" s="165"/>
      <c r="B114" s="166"/>
      <c r="C114" s="166"/>
      <c r="D114" s="16"/>
      <c r="E114" s="16"/>
      <c r="F114" s="16"/>
      <c r="G114" s="17"/>
      <c r="H114" s="17"/>
      <c r="I114" s="18"/>
      <c r="J114" s="18"/>
      <c r="K114" s="19"/>
      <c r="L114" s="19"/>
      <c r="M114" s="19"/>
      <c r="N114" s="19"/>
      <c r="O114" s="19"/>
      <c r="P114" s="19"/>
    </row>
    <row r="115" spans="1:16" ht="12.75" hidden="1" x14ac:dyDescent="0.2">
      <c r="A115" s="165"/>
      <c r="B115" s="166"/>
      <c r="C115" s="166"/>
      <c r="D115" s="16"/>
      <c r="E115" s="16"/>
      <c r="F115" s="16"/>
      <c r="G115" s="17"/>
      <c r="H115" s="17"/>
      <c r="I115" s="18"/>
      <c r="J115" s="18"/>
      <c r="K115" s="19"/>
      <c r="L115" s="19"/>
      <c r="M115" s="19"/>
      <c r="N115" s="19"/>
      <c r="O115" s="19"/>
      <c r="P115" s="19"/>
    </row>
    <row r="116" spans="1:16" ht="12.75" hidden="1" x14ac:dyDescent="0.2">
      <c r="A116" s="165"/>
      <c r="B116" s="166"/>
      <c r="C116" s="166"/>
      <c r="D116" s="16"/>
      <c r="E116" s="16"/>
      <c r="F116" s="16"/>
      <c r="G116" s="17"/>
      <c r="H116" s="17"/>
      <c r="I116" s="18"/>
      <c r="J116" s="18"/>
      <c r="K116" s="19"/>
      <c r="L116" s="19"/>
      <c r="M116" s="19"/>
      <c r="N116" s="19"/>
      <c r="O116" s="19"/>
      <c r="P116" s="19"/>
    </row>
    <row r="117" spans="1:16" ht="18.75" hidden="1" x14ac:dyDescent="0.25">
      <c r="A117" s="148"/>
      <c r="B117" s="149"/>
      <c r="C117" s="149"/>
      <c r="D117" s="159" t="s">
        <v>48</v>
      </c>
      <c r="E117" s="155"/>
      <c r="F117" s="155"/>
      <c r="G117" s="153"/>
      <c r="H117" s="251" t="s">
        <v>33</v>
      </c>
      <c r="I117" s="161">
        <f ca="1">IFERROR(__xludf.DUMMYFUNCTION("IMPORTRANGE(""https://docs.google.com/spreadsheets/d/1eHaY18a8A9IcSdp1K8H6x8fbOy06t2VsZHhMHf-1x7Y/edit?usp=sharing"",""แผน!R26"")"),0)</f>
        <v>0</v>
      </c>
      <c r="J117" s="250">
        <v>0</v>
      </c>
      <c r="K117" s="47">
        <f ca="1">IF(I117&gt;0,J117*100/I117,0)</f>
        <v>0</v>
      </c>
      <c r="L117" s="46"/>
      <c r="M117" s="46"/>
      <c r="N117" s="46"/>
      <c r="O117" s="145"/>
      <c r="P117" s="145"/>
    </row>
    <row r="118" spans="1:16" ht="12.75" hidden="1" x14ac:dyDescent="0.2">
      <c r="A118" s="165"/>
      <c r="B118" s="166"/>
      <c r="C118" s="166"/>
      <c r="D118" s="166"/>
      <c r="E118" s="16"/>
      <c r="F118" s="16"/>
      <c r="G118" s="17"/>
      <c r="H118" s="17"/>
      <c r="I118" s="18"/>
      <c r="J118" s="18"/>
      <c r="K118" s="19"/>
      <c r="L118" s="19"/>
      <c r="M118" s="19"/>
      <c r="N118" s="19"/>
      <c r="O118" s="19"/>
      <c r="P118" s="19"/>
    </row>
    <row r="119" spans="1:16" ht="12.75" hidden="1" x14ac:dyDescent="0.2">
      <c r="A119" s="165"/>
      <c r="B119" s="166"/>
      <c r="C119" s="166"/>
      <c r="D119" s="166"/>
      <c r="E119" s="16"/>
      <c r="F119" s="16"/>
      <c r="G119" s="17"/>
      <c r="H119" s="17"/>
      <c r="I119" s="18"/>
      <c r="J119" s="18"/>
      <c r="K119" s="19"/>
      <c r="L119" s="19"/>
      <c r="M119" s="19"/>
      <c r="N119" s="19"/>
      <c r="O119" s="19"/>
      <c r="P119" s="19"/>
    </row>
    <row r="120" spans="1:16" ht="12.75" hidden="1" x14ac:dyDescent="0.2">
      <c r="A120" s="165"/>
      <c r="B120" s="166"/>
      <c r="C120" s="166"/>
      <c r="D120" s="166"/>
      <c r="E120" s="16"/>
      <c r="F120" s="16"/>
      <c r="G120" s="17"/>
      <c r="H120" s="17"/>
      <c r="I120" s="18"/>
      <c r="J120" s="18"/>
      <c r="K120" s="19"/>
      <c r="L120" s="19"/>
      <c r="M120" s="19"/>
      <c r="N120" s="19"/>
      <c r="O120" s="19"/>
      <c r="P120" s="19"/>
    </row>
    <row r="121" spans="1:16" ht="12.75" hidden="1" x14ac:dyDescent="0.2">
      <c r="A121" s="165"/>
      <c r="B121" s="166"/>
      <c r="C121" s="166"/>
      <c r="D121" s="166"/>
      <c r="E121" s="16"/>
      <c r="F121" s="16"/>
      <c r="G121" s="17"/>
      <c r="H121" s="17"/>
      <c r="I121" s="18"/>
      <c r="J121" s="18"/>
      <c r="K121" s="19"/>
      <c r="L121" s="19"/>
      <c r="M121" s="19"/>
      <c r="N121" s="19"/>
      <c r="O121" s="19"/>
      <c r="P121" s="19"/>
    </row>
    <row r="122" spans="1:16" ht="12.75" hidden="1" x14ac:dyDescent="0.2">
      <c r="A122" s="165"/>
      <c r="B122" s="166"/>
      <c r="C122" s="166"/>
      <c r="D122" s="166"/>
      <c r="E122" s="16"/>
      <c r="F122" s="16"/>
      <c r="G122" s="17"/>
      <c r="H122" s="17"/>
      <c r="I122" s="18"/>
      <c r="J122" s="18"/>
      <c r="K122" s="19"/>
      <c r="L122" s="19"/>
      <c r="M122" s="19"/>
      <c r="N122" s="19"/>
      <c r="O122" s="19"/>
      <c r="P122" s="19"/>
    </row>
    <row r="123" spans="1:16" ht="19.5" hidden="1" x14ac:dyDescent="0.3">
      <c r="A123" s="170" t="s">
        <v>49</v>
      </c>
      <c r="B123" s="16"/>
      <c r="C123" s="171"/>
      <c r="D123" s="16"/>
      <c r="E123" s="16"/>
      <c r="F123" s="16"/>
      <c r="G123" s="16"/>
      <c r="H123" s="16"/>
      <c r="I123" s="172"/>
      <c r="J123" s="172"/>
      <c r="K123" s="173"/>
      <c r="L123" s="19"/>
      <c r="M123" s="19"/>
      <c r="N123" s="19"/>
      <c r="O123" s="19"/>
      <c r="P123" s="19"/>
    </row>
    <row r="124" spans="1:16" ht="19.5" hidden="1" x14ac:dyDescent="0.3">
      <c r="A124" s="174"/>
      <c r="B124" s="178" t="s">
        <v>50</v>
      </c>
      <c r="C124" s="171"/>
      <c r="D124" s="166"/>
      <c r="E124" s="16"/>
      <c r="F124" s="16"/>
      <c r="G124" s="17"/>
      <c r="H124" s="17"/>
      <c r="I124" s="176">
        <v>0</v>
      </c>
      <c r="J124" s="176">
        <v>0</v>
      </c>
      <c r="K124" s="177">
        <v>0</v>
      </c>
      <c r="L124" s="19"/>
      <c r="M124" s="19"/>
      <c r="N124" s="19"/>
      <c r="O124" s="19"/>
      <c r="P124" s="19"/>
    </row>
    <row r="125" spans="1:16" ht="19.5" hidden="1" x14ac:dyDescent="0.3">
      <c r="A125" s="174"/>
      <c r="B125" s="16"/>
      <c r="C125" s="178" t="s">
        <v>16</v>
      </c>
      <c r="D125" s="402" t="s">
        <v>17</v>
      </c>
      <c r="E125" s="16"/>
      <c r="F125" s="16"/>
      <c r="G125" s="17"/>
      <c r="H125" s="180" t="s">
        <v>12</v>
      </c>
      <c r="I125" s="18"/>
      <c r="J125" s="18"/>
      <c r="K125" s="19"/>
      <c r="L125" s="181">
        <f ca="1">L126+L127</f>
        <v>0</v>
      </c>
      <c r="M125" s="181">
        <f ca="1">M126+M127</f>
        <v>0</v>
      </c>
      <c r="N125" s="181">
        <f ca="1">N126+N127</f>
        <v>0</v>
      </c>
      <c r="O125" s="181">
        <f ca="1">IF(L125&gt;0,N125*100/L125,0)</f>
        <v>0</v>
      </c>
      <c r="P125" s="181">
        <f ca="1">IF(M125&gt;0,N125*100/M125,0)</f>
        <v>0</v>
      </c>
    </row>
    <row r="126" spans="1:16" ht="18.75" hidden="1" x14ac:dyDescent="0.25">
      <c r="A126" s="174"/>
      <c r="B126" s="16"/>
      <c r="C126" s="16"/>
      <c r="D126" s="16"/>
      <c r="E126" s="182" t="s">
        <v>18</v>
      </c>
      <c r="F126" s="16"/>
      <c r="G126" s="17"/>
      <c r="H126" s="183" t="s">
        <v>12</v>
      </c>
      <c r="I126" s="18"/>
      <c r="J126" s="18"/>
      <c r="K126" s="19"/>
      <c r="L126" s="184">
        <f>L129+L132</f>
        <v>0</v>
      </c>
      <c r="M126" s="184">
        <f>M129+M132</f>
        <v>0</v>
      </c>
      <c r="N126" s="184">
        <f>N129+N132</f>
        <v>0</v>
      </c>
      <c r="O126" s="184">
        <f>IF(L126&gt;0,N126*100/L126,0)</f>
        <v>0</v>
      </c>
      <c r="P126" s="184">
        <f>IF(M126&gt;0,N126*100/M126,0)</f>
        <v>0</v>
      </c>
    </row>
    <row r="127" spans="1:16" ht="18.75" hidden="1" x14ac:dyDescent="0.25">
      <c r="A127" s="174"/>
      <c r="B127" s="16"/>
      <c r="C127" s="16"/>
      <c r="D127" s="16"/>
      <c r="E127" s="185" t="s">
        <v>19</v>
      </c>
      <c r="F127" s="16"/>
      <c r="G127" s="17"/>
      <c r="H127" s="186" t="s">
        <v>12</v>
      </c>
      <c r="I127" s="18"/>
      <c r="J127" s="18"/>
      <c r="K127" s="19"/>
      <c r="L127" s="177">
        <f ca="1">L130+L133</f>
        <v>0</v>
      </c>
      <c r="M127" s="177">
        <f ca="1">M130+M133</f>
        <v>0</v>
      </c>
      <c r="N127" s="177">
        <f ca="1">N130+N133</f>
        <v>0</v>
      </c>
      <c r="O127" s="177">
        <f ca="1">IF(L127&gt;0,N127*100/L127,0)</f>
        <v>0</v>
      </c>
      <c r="P127" s="177">
        <f ca="1">IF(M127&gt;0,N127*100/M127,0)</f>
        <v>0</v>
      </c>
    </row>
    <row r="128" spans="1:16" ht="18.75" hidden="1" x14ac:dyDescent="0.25">
      <c r="A128" s="174"/>
      <c r="B128" s="16"/>
      <c r="C128" s="16"/>
      <c r="D128" s="401" t="s">
        <v>20</v>
      </c>
      <c r="E128" s="16"/>
      <c r="F128" s="16"/>
      <c r="G128" s="17"/>
      <c r="H128" s="188" t="s">
        <v>12</v>
      </c>
      <c r="I128" s="18"/>
      <c r="J128" s="18"/>
      <c r="K128" s="19"/>
      <c r="L128" s="177">
        <f ca="1">L129+L130</f>
        <v>0</v>
      </c>
      <c r="M128" s="177">
        <f ca="1">M129+M130</f>
        <v>0</v>
      </c>
      <c r="N128" s="177">
        <f ca="1">N129+N130</f>
        <v>0</v>
      </c>
      <c r="O128" s="177">
        <f ca="1">IF(L128&gt;0,N128*100/L128,0)</f>
        <v>0</v>
      </c>
      <c r="P128" s="177">
        <f ca="1">IF(M128&gt;0,N128*100/M128,0)</f>
        <v>0</v>
      </c>
    </row>
    <row r="129" spans="1:16" ht="18.75" hidden="1" x14ac:dyDescent="0.25">
      <c r="A129" s="174"/>
      <c r="B129" s="16"/>
      <c r="C129" s="16"/>
      <c r="D129" s="16"/>
      <c r="E129" s="182" t="s">
        <v>34</v>
      </c>
      <c r="F129" s="16"/>
      <c r="G129" s="17"/>
      <c r="H129" s="189" t="s">
        <v>12</v>
      </c>
      <c r="I129" s="18"/>
      <c r="J129" s="18"/>
      <c r="K129" s="19"/>
      <c r="L129" s="184">
        <v>0</v>
      </c>
      <c r="M129" s="184">
        <v>0</v>
      </c>
      <c r="N129" s="184">
        <v>0</v>
      </c>
      <c r="O129" s="184">
        <f>IF(L129&gt;0,N129*100/L129,0)</f>
        <v>0</v>
      </c>
      <c r="P129" s="184">
        <f>IF(M129&gt;0,N129*100/M129,0)</f>
        <v>0</v>
      </c>
    </row>
    <row r="130" spans="1:16" ht="18.75" hidden="1" x14ac:dyDescent="0.25">
      <c r="A130" s="174"/>
      <c r="B130" s="16"/>
      <c r="C130" s="16"/>
      <c r="D130" s="16"/>
      <c r="E130" s="185" t="s">
        <v>35</v>
      </c>
      <c r="F130" s="16"/>
      <c r="G130" s="17"/>
      <c r="H130" s="188" t="s">
        <v>12</v>
      </c>
      <c r="I130" s="18"/>
      <c r="J130" s="18"/>
      <c r="K130" s="19"/>
      <c r="L130" s="177">
        <f ca="1">IFERROR(__xludf.DUMMYFUNCTION("IMPORTRANGE(""https://docs.google.com/spreadsheets/d/1-uDff_7J0KD5mKrp0Vvzr7lt3OU09vwQwhkpOPPYv2Y/edit?usp=sharing"",""งบพรบ!BG26"")"),0)</f>
        <v>0</v>
      </c>
      <c r="M130" s="177">
        <f ca="1">IFERROR(__xludf.DUMMYFUNCTION("IMPORTRANGE(""https://docs.google.com/spreadsheets/d/1-uDff_7J0KD5mKrp0Vvzr7lt3OU09vwQwhkpOPPYv2Y/edit?usp=sharing"",""งบพรบ!BL26"")"),0)</f>
        <v>0</v>
      </c>
      <c r="N130" s="177">
        <f ca="1">IFERROR(__xludf.DUMMYFUNCTION("IMPORTRANGE(""https://docs.google.com/spreadsheets/d/1-uDff_7J0KD5mKrp0Vvzr7lt3OU09vwQwhkpOPPYv2Y/edit?usp=sharing"",""งบพรบ!BN26"")"),0)</f>
        <v>0</v>
      </c>
      <c r="O130" s="177">
        <f ca="1">IF(L130&gt;0,N130*100/L130,0)</f>
        <v>0</v>
      </c>
      <c r="P130" s="177">
        <f ca="1">IF(M130&gt;0,N130*100/M130,0)</f>
        <v>0</v>
      </c>
    </row>
    <row r="131" spans="1:16" ht="18.75" hidden="1" x14ac:dyDescent="0.25">
      <c r="A131" s="174"/>
      <c r="B131" s="16"/>
      <c r="C131" s="16"/>
      <c r="D131" s="401" t="s">
        <v>21</v>
      </c>
      <c r="E131" s="16"/>
      <c r="F131" s="16"/>
      <c r="G131" s="17"/>
      <c r="H131" s="186" t="s">
        <v>12</v>
      </c>
      <c r="I131" s="18"/>
      <c r="J131" s="18"/>
      <c r="K131" s="19"/>
      <c r="L131" s="177">
        <f ca="1">L132+L133</f>
        <v>0</v>
      </c>
      <c r="M131" s="177">
        <f ca="1">M132+M133</f>
        <v>0</v>
      </c>
      <c r="N131" s="177">
        <f ca="1">N132+N133</f>
        <v>0</v>
      </c>
      <c r="O131" s="177">
        <f ca="1">IF(L131&gt;0,N131*100/L131,0)</f>
        <v>0</v>
      </c>
      <c r="P131" s="177">
        <f ca="1">IF(M131&gt;0,N131*100/M131,0)</f>
        <v>0</v>
      </c>
    </row>
    <row r="132" spans="1:16" ht="18.75" hidden="1" x14ac:dyDescent="0.25">
      <c r="A132" s="174"/>
      <c r="B132" s="16"/>
      <c r="C132" s="16"/>
      <c r="D132" s="16"/>
      <c r="E132" s="182" t="s">
        <v>18</v>
      </c>
      <c r="F132" s="16"/>
      <c r="G132" s="17"/>
      <c r="H132" s="189" t="s">
        <v>12</v>
      </c>
      <c r="I132" s="18"/>
      <c r="J132" s="18"/>
      <c r="K132" s="19"/>
      <c r="L132" s="184">
        <v>0</v>
      </c>
      <c r="M132" s="184">
        <v>0</v>
      </c>
      <c r="N132" s="184">
        <v>0</v>
      </c>
      <c r="O132" s="184">
        <f>IF(L132&gt;0,N132*100/L132,0)</f>
        <v>0</v>
      </c>
      <c r="P132" s="184">
        <f>IF(M132&gt;0,N132*100/M132,0)</f>
        <v>0</v>
      </c>
    </row>
    <row r="133" spans="1:16" ht="18.75" hidden="1" x14ac:dyDescent="0.25">
      <c r="A133" s="174"/>
      <c r="B133" s="16"/>
      <c r="C133" s="16"/>
      <c r="D133" s="16"/>
      <c r="E133" s="185" t="s">
        <v>19</v>
      </c>
      <c r="F133" s="16"/>
      <c r="G133" s="17"/>
      <c r="H133" s="186" t="s">
        <v>12</v>
      </c>
      <c r="I133" s="18"/>
      <c r="J133" s="18"/>
      <c r="K133" s="19"/>
      <c r="L133" s="177">
        <f ca="1">IFERROR(__xludf.DUMMYFUNCTION("IMPORTRANGE(""https://docs.google.com/spreadsheets/d/1-uDff_7J0KD5mKrp0Vvzr7lt3OU09vwQwhkpOPPYv2Y/edit?usp=sharing"",""งบพรบ!BJ26"")"),0)</f>
        <v>0</v>
      </c>
      <c r="M133" s="177">
        <f ca="1">IFERROR(__xludf.DUMMYFUNCTION("IMPORTRANGE(""https://docs.google.com/spreadsheets/d/1-uDff_7J0KD5mKrp0Vvzr7lt3OU09vwQwhkpOPPYv2Y/edit?usp=sharing"",""งบพรบ!BM26"")"),0)</f>
        <v>0</v>
      </c>
      <c r="N133" s="177">
        <f ca="1">IFERROR(__xludf.DUMMYFUNCTION("IMPORTRANGE(""https://docs.google.com/spreadsheets/d/1-uDff_7J0KD5mKrp0Vvzr7lt3OU09vwQwhkpOPPYv2Y/edit?usp=sharing"",""งบพรบ!BO26"")"),0)</f>
        <v>0</v>
      </c>
      <c r="O133" s="177">
        <f ca="1">IF(L133&gt;0,N133*100/L133,0)</f>
        <v>0</v>
      </c>
      <c r="P133" s="177">
        <f ca="1">IF(M133&gt;0,N133*100/M133,0)</f>
        <v>0</v>
      </c>
    </row>
    <row r="134" spans="1:16" ht="19.5" x14ac:dyDescent="0.3">
      <c r="A134" s="125" t="s">
        <v>51</v>
      </c>
      <c r="B134" s="126"/>
      <c r="C134" s="190"/>
      <c r="D134" s="126"/>
      <c r="E134" s="126"/>
      <c r="F134" s="126"/>
      <c r="G134" s="126"/>
      <c r="H134" s="126"/>
      <c r="I134" s="191"/>
      <c r="J134" s="191"/>
      <c r="K134" s="192"/>
      <c r="L134" s="130"/>
      <c r="M134" s="130"/>
      <c r="N134" s="130"/>
      <c r="O134" s="130"/>
      <c r="P134" s="130"/>
    </row>
    <row r="135" spans="1:16" ht="19.5" x14ac:dyDescent="0.3">
      <c r="A135" s="131"/>
      <c r="B135" s="132" t="s">
        <v>52</v>
      </c>
      <c r="C135" s="193"/>
      <c r="D135" s="133"/>
      <c r="E135" s="26"/>
      <c r="F135" s="26"/>
      <c r="G135" s="26"/>
      <c r="H135" s="26"/>
      <c r="I135" s="194"/>
      <c r="J135" s="31"/>
      <c r="K135" s="32"/>
      <c r="L135" s="32"/>
      <c r="M135" s="32"/>
      <c r="N135" s="32"/>
      <c r="O135" s="32"/>
      <c r="P135" s="32"/>
    </row>
    <row r="136" spans="1:16" ht="19.5" x14ac:dyDescent="0.3">
      <c r="A136" s="131"/>
      <c r="B136" s="26"/>
      <c r="C136" s="195" t="s">
        <v>53</v>
      </c>
      <c r="D136" s="133"/>
      <c r="E136" s="26"/>
      <c r="F136" s="26"/>
      <c r="G136" s="29"/>
      <c r="H136" s="134" t="s">
        <v>54</v>
      </c>
      <c r="I136" s="135">
        <f ca="1">I154</f>
        <v>3</v>
      </c>
      <c r="J136" s="135">
        <f>J154</f>
        <v>0</v>
      </c>
      <c r="K136" s="33">
        <f ca="1">IF(I136&gt;0,J136*100/I136,0)</f>
        <v>0</v>
      </c>
      <c r="L136" s="32"/>
      <c r="M136" s="32"/>
      <c r="N136" s="32"/>
      <c r="O136" s="32"/>
      <c r="P136" s="32"/>
    </row>
    <row r="137" spans="1:16" ht="19.5" x14ac:dyDescent="0.3">
      <c r="A137" s="131"/>
      <c r="B137" s="26"/>
      <c r="C137" s="195" t="s">
        <v>55</v>
      </c>
      <c r="D137" s="133"/>
      <c r="E137" s="26"/>
      <c r="F137" s="26"/>
      <c r="G137" s="29"/>
      <c r="H137" s="134" t="s">
        <v>33</v>
      </c>
      <c r="I137" s="135">
        <f ca="1">I152</f>
        <v>40</v>
      </c>
      <c r="J137" s="135">
        <f>J152</f>
        <v>0</v>
      </c>
      <c r="K137" s="33">
        <f ca="1">IF(I137&gt;0,J137*100/I137,0)</f>
        <v>0</v>
      </c>
      <c r="L137" s="32"/>
      <c r="M137" s="32"/>
      <c r="N137" s="32"/>
      <c r="O137" s="32"/>
      <c r="P137" s="32"/>
    </row>
    <row r="138" spans="1:16" ht="19.5" x14ac:dyDescent="0.3">
      <c r="A138" s="131"/>
      <c r="B138" s="26"/>
      <c r="C138" s="193"/>
      <c r="D138" s="133"/>
      <c r="E138" s="26"/>
      <c r="F138" s="26"/>
      <c r="G138" s="29"/>
      <c r="H138" s="134" t="s">
        <v>56</v>
      </c>
      <c r="I138" s="135">
        <f ca="1">I153</f>
        <v>4</v>
      </c>
      <c r="J138" s="135">
        <f>J153</f>
        <v>0</v>
      </c>
      <c r="K138" s="33">
        <f ca="1">IF(I138&gt;0,J138*100/I138,0)</f>
        <v>0</v>
      </c>
      <c r="L138" s="32"/>
      <c r="M138" s="32"/>
      <c r="N138" s="32"/>
      <c r="O138" s="32"/>
      <c r="P138" s="32"/>
    </row>
    <row r="139" spans="1:16" ht="19.5" x14ac:dyDescent="0.3">
      <c r="A139" s="136"/>
      <c r="B139" s="41"/>
      <c r="C139" s="197" t="s">
        <v>16</v>
      </c>
      <c r="D139" s="397" t="s">
        <v>17</v>
      </c>
      <c r="E139" s="41"/>
      <c r="F139" s="41"/>
      <c r="G139" s="43"/>
      <c r="H139" s="139" t="s">
        <v>12</v>
      </c>
      <c r="I139" s="45"/>
      <c r="J139" s="45"/>
      <c r="K139" s="46"/>
      <c r="L139" s="140">
        <f ca="1">L140+L141</f>
        <v>164700</v>
      </c>
      <c r="M139" s="140">
        <f ca="1">M140+M141</f>
        <v>136600</v>
      </c>
      <c r="N139" s="140">
        <f ca="1">N140+N141</f>
        <v>25265</v>
      </c>
      <c r="O139" s="140">
        <f ca="1">IF(L139&gt;0,N139*100/L139,0)</f>
        <v>15.340012143290831</v>
      </c>
      <c r="P139" s="140">
        <f ca="1">IF(M139&gt;0,N139*100/M139,0)</f>
        <v>18.495607613469986</v>
      </c>
    </row>
    <row r="140" spans="1:16" ht="18.75" hidden="1" x14ac:dyDescent="0.25">
      <c r="A140" s="136"/>
      <c r="B140" s="41"/>
      <c r="C140" s="41"/>
      <c r="D140" s="41"/>
      <c r="E140" s="279" t="s">
        <v>18</v>
      </c>
      <c r="F140" s="41"/>
      <c r="G140" s="43"/>
      <c r="H140" s="141" t="s">
        <v>12</v>
      </c>
      <c r="I140" s="45"/>
      <c r="J140" s="45"/>
      <c r="K140" s="46"/>
      <c r="L140" s="50">
        <f>L143+L146</f>
        <v>0</v>
      </c>
      <c r="M140" s="50">
        <f>M143+M146</f>
        <v>0</v>
      </c>
      <c r="N140" s="50">
        <f>N143+N146</f>
        <v>0</v>
      </c>
      <c r="O140" s="50">
        <f>IF(L140&gt;0,N140*100/L140,0)</f>
        <v>0</v>
      </c>
      <c r="P140" s="50">
        <f>IF(M140&gt;0,N140*100/M140,0)</f>
        <v>0</v>
      </c>
    </row>
    <row r="141" spans="1:16" ht="18.75" x14ac:dyDescent="0.25">
      <c r="A141" s="136"/>
      <c r="B141" s="41"/>
      <c r="C141" s="41"/>
      <c r="D141" s="41"/>
      <c r="E141" s="254" t="s">
        <v>19</v>
      </c>
      <c r="F141" s="41"/>
      <c r="G141" s="43"/>
      <c r="H141" s="142" t="s">
        <v>12</v>
      </c>
      <c r="I141" s="45"/>
      <c r="J141" s="45"/>
      <c r="K141" s="46"/>
      <c r="L141" s="47">
        <f ca="1">L144+L147</f>
        <v>164700</v>
      </c>
      <c r="M141" s="47">
        <f ca="1">M144+M147</f>
        <v>136600</v>
      </c>
      <c r="N141" s="47">
        <f ca="1">N144+N147</f>
        <v>25265</v>
      </c>
      <c r="O141" s="47">
        <f ca="1">IF(L141&gt;0,N141*100/L141,0)</f>
        <v>15.340012143290831</v>
      </c>
      <c r="P141" s="47">
        <f ca="1">IF(M141&gt;0,N141*100/M141,0)</f>
        <v>18.495607613469986</v>
      </c>
    </row>
    <row r="142" spans="1:16" ht="18.75" x14ac:dyDescent="0.25">
      <c r="A142" s="136"/>
      <c r="B142" s="41"/>
      <c r="C142" s="41"/>
      <c r="D142" s="42" t="s">
        <v>20</v>
      </c>
      <c r="E142" s="41"/>
      <c r="F142" s="41"/>
      <c r="G142" s="43"/>
      <c r="H142" s="143" t="s">
        <v>12</v>
      </c>
      <c r="I142" s="144"/>
      <c r="J142" s="144"/>
      <c r="K142" s="145"/>
      <c r="L142" s="47">
        <f ca="1">L143+L144</f>
        <v>164700</v>
      </c>
      <c r="M142" s="47">
        <f ca="1">M143+M144</f>
        <v>136600</v>
      </c>
      <c r="N142" s="47">
        <f ca="1">N143+N144</f>
        <v>25265</v>
      </c>
      <c r="O142" s="47">
        <f ca="1">IF(L142&gt;0,N142*100/L142,0)</f>
        <v>15.340012143290831</v>
      </c>
      <c r="P142" s="47">
        <f ca="1">IF(M142&gt;0,N142*100/M142,0)</f>
        <v>18.495607613469986</v>
      </c>
    </row>
    <row r="143" spans="1:16" ht="18.75" hidden="1" x14ac:dyDescent="0.25">
      <c r="A143" s="136"/>
      <c r="B143" s="41"/>
      <c r="C143" s="41"/>
      <c r="D143" s="41"/>
      <c r="E143" s="279" t="s">
        <v>34</v>
      </c>
      <c r="F143" s="41"/>
      <c r="G143" s="43"/>
      <c r="H143" s="146" t="s">
        <v>12</v>
      </c>
      <c r="I143" s="144"/>
      <c r="J143" s="144"/>
      <c r="K143" s="145"/>
      <c r="L143" s="50">
        <v>0</v>
      </c>
      <c r="M143" s="50">
        <v>0</v>
      </c>
      <c r="N143" s="50">
        <v>0</v>
      </c>
      <c r="O143" s="50">
        <f>IF(L143&gt;0,N143*100/L143,0)</f>
        <v>0</v>
      </c>
      <c r="P143" s="50">
        <f>IF(M143&gt;0,N143*100/M143,0)</f>
        <v>0</v>
      </c>
    </row>
    <row r="144" spans="1:16" ht="18.75" x14ac:dyDescent="0.25">
      <c r="A144" s="136"/>
      <c r="B144" s="41"/>
      <c r="C144" s="41"/>
      <c r="D144" s="41"/>
      <c r="E144" s="254" t="s">
        <v>35</v>
      </c>
      <c r="F144" s="41"/>
      <c r="G144" s="43"/>
      <c r="H144" s="143" t="s">
        <v>12</v>
      </c>
      <c r="I144" s="144"/>
      <c r="J144" s="144"/>
      <c r="K144" s="145"/>
      <c r="L144" s="47">
        <f ca="1">IFERROR(__xludf.DUMMYFUNCTION("IMPORTRANGE(""https://docs.google.com/spreadsheets/d/1-uDff_7J0KD5mKrp0Vvzr7lt3OU09vwQwhkpOPPYv2Y/edit?usp=sharing"",""งบพรบ!BQ26"")"),164700)</f>
        <v>164700</v>
      </c>
      <c r="M144" s="47">
        <f ca="1">IFERROR(__xludf.DUMMYFUNCTION("IMPORTRANGE(""https://docs.google.com/spreadsheets/d/1-uDff_7J0KD5mKrp0Vvzr7lt3OU09vwQwhkpOPPYv2Y/edit?usp=sharing"",""งบพรบ!BV26"")"),136600)</f>
        <v>136600</v>
      </c>
      <c r="N144" s="47">
        <f ca="1">IFERROR(__xludf.DUMMYFUNCTION("IMPORTRANGE(""https://docs.google.com/spreadsheets/d/1-uDff_7J0KD5mKrp0Vvzr7lt3OU09vwQwhkpOPPYv2Y/edit?usp=sharing"",""งบพรบ!BX26"")"),25265)</f>
        <v>25265</v>
      </c>
      <c r="O144" s="47">
        <f ca="1">IF(L144&gt;0,N144*100/L144,0)</f>
        <v>15.340012143290831</v>
      </c>
      <c r="P144" s="47">
        <f ca="1">IF(M144&gt;0,N144*100/M144,0)</f>
        <v>18.495607613469986</v>
      </c>
    </row>
    <row r="145" spans="1:16" ht="18.75" x14ac:dyDescent="0.25">
      <c r="A145" s="136"/>
      <c r="B145" s="41"/>
      <c r="C145" s="41"/>
      <c r="D145" s="42" t="s">
        <v>21</v>
      </c>
      <c r="E145" s="41"/>
      <c r="F145" s="41"/>
      <c r="G145" s="43"/>
      <c r="H145" s="147" t="s">
        <v>12</v>
      </c>
      <c r="I145" s="144"/>
      <c r="J145" s="144"/>
      <c r="K145" s="145"/>
      <c r="L145" s="47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</row>
    <row r="146" spans="1:16" ht="18.75" hidden="1" x14ac:dyDescent="0.25">
      <c r="A146" s="136"/>
      <c r="B146" s="41"/>
      <c r="C146" s="41"/>
      <c r="D146" s="41"/>
      <c r="E146" s="279" t="s">
        <v>18</v>
      </c>
      <c r="F146" s="41"/>
      <c r="G146" s="43"/>
      <c r="H146" s="146" t="s">
        <v>12</v>
      </c>
      <c r="I146" s="144"/>
      <c r="J146" s="144"/>
      <c r="K146" s="145"/>
      <c r="L146" s="50">
        <v>0</v>
      </c>
      <c r="M146" s="50">
        <v>0</v>
      </c>
      <c r="N146" s="50">
        <v>0</v>
      </c>
      <c r="O146" s="50">
        <f>IF(L146&gt;0,N146*100/L146,0)</f>
        <v>0</v>
      </c>
      <c r="P146" s="50">
        <f>IF(M146&gt;0,N146*100/M146,0)</f>
        <v>0</v>
      </c>
    </row>
    <row r="147" spans="1:16" ht="18.75" x14ac:dyDescent="0.25">
      <c r="A147" s="136"/>
      <c r="B147" s="41"/>
      <c r="C147" s="41"/>
      <c r="D147" s="41"/>
      <c r="E147" s="254" t="s">
        <v>19</v>
      </c>
      <c r="F147" s="41"/>
      <c r="G147" s="43"/>
      <c r="H147" s="147" t="s">
        <v>12</v>
      </c>
      <c r="I147" s="144"/>
      <c r="J147" s="144"/>
      <c r="K147" s="145"/>
      <c r="L147" s="47">
        <f ca="1">IFERROR(__xludf.DUMMYFUNCTION("IMPORTRANGE(""https://docs.google.com/spreadsheets/d/1-uDff_7J0KD5mKrp0Vvzr7lt3OU09vwQwhkpOPPYv2Y/edit?usp=sharing"",""งบพรบ!BT26"")"),0)</f>
        <v>0</v>
      </c>
      <c r="M147" s="47">
        <f ca="1">IFERROR(__xludf.DUMMYFUNCTION("IMPORTRANGE(""https://docs.google.com/spreadsheets/d/1-uDff_7J0KD5mKrp0Vvzr7lt3OU09vwQwhkpOPPYv2Y/edit?usp=sharing"",""งบพรบ!BW26"")"),0)</f>
        <v>0</v>
      </c>
      <c r="N147" s="47">
        <f ca="1">IFERROR(__xludf.DUMMYFUNCTION("IMPORTRANGE(""https://docs.google.com/spreadsheets/d/1-uDff_7J0KD5mKrp0Vvzr7lt3OU09vwQwhkpOPPYv2Y/edit?usp=sharing"",""งบพรบ!BY26"")"),0)</f>
        <v>0</v>
      </c>
      <c r="O147" s="47">
        <f ca="1">IF(L147&gt;0,N147*100/L147,0)</f>
        <v>0</v>
      </c>
      <c r="P147" s="47">
        <f ca="1">IF(M147&gt;0,N147*100/M147,0)</f>
        <v>0</v>
      </c>
    </row>
    <row r="148" spans="1:16" ht="19.5" x14ac:dyDescent="0.3">
      <c r="A148" s="148"/>
      <c r="B148" s="149"/>
      <c r="C148" s="197" t="s">
        <v>16</v>
      </c>
      <c r="D148" s="395" t="s">
        <v>36</v>
      </c>
      <c r="E148" s="151"/>
      <c r="F148" s="151"/>
      <c r="G148" s="152"/>
      <c r="H148" s="196"/>
      <c r="I148" s="45"/>
      <c r="J148" s="45"/>
      <c r="K148" s="46"/>
      <c r="L148" s="46"/>
      <c r="M148" s="46"/>
      <c r="N148" s="46"/>
      <c r="O148" s="46"/>
      <c r="P148" s="46"/>
    </row>
    <row r="149" spans="1:16" ht="18.75" x14ac:dyDescent="0.25">
      <c r="A149" s="136"/>
      <c r="B149" s="41"/>
      <c r="C149" s="41"/>
      <c r="D149" s="254" t="s">
        <v>57</v>
      </c>
      <c r="E149" s="41"/>
      <c r="F149" s="41"/>
      <c r="G149" s="43"/>
      <c r="H149" s="196"/>
      <c r="I149" s="45"/>
      <c r="J149" s="250">
        <v>0</v>
      </c>
      <c r="K149" s="46"/>
      <c r="L149" s="46"/>
      <c r="M149" s="46"/>
      <c r="N149" s="46"/>
      <c r="O149" s="46"/>
      <c r="P149" s="46"/>
    </row>
    <row r="150" spans="1:16" ht="19.5" x14ac:dyDescent="0.3">
      <c r="A150" s="136"/>
      <c r="B150" s="41"/>
      <c r="C150" s="41"/>
      <c r="D150" s="155"/>
      <c r="E150" s="197" t="s">
        <v>58</v>
      </c>
      <c r="F150" s="41"/>
      <c r="G150" s="43"/>
      <c r="H150" s="147" t="s">
        <v>33</v>
      </c>
      <c r="I150" s="169">
        <f ca="1">IFERROR(__xludf.DUMMYFUNCTION("IMPORTRANGE(""https://docs.google.com/spreadsheets/d/1eHaY18a8A9IcSdp1K8H6x8fbOy06t2VsZHhMHf-1x7Y/edit?usp=sharing"",""แผน!U26"")"),30)</f>
        <v>30</v>
      </c>
      <c r="J150" s="250">
        <v>0</v>
      </c>
      <c r="K150" s="47">
        <f ca="1">IF(I150&gt;0,J150*100/I150,0)</f>
        <v>0</v>
      </c>
      <c r="L150" s="46"/>
      <c r="M150" s="46"/>
      <c r="N150" s="46"/>
      <c r="O150" s="46"/>
      <c r="P150" s="46"/>
    </row>
    <row r="151" spans="1:16" ht="18.75" x14ac:dyDescent="0.25">
      <c r="A151" s="136"/>
      <c r="B151" s="41"/>
      <c r="C151" s="41"/>
      <c r="D151" s="155"/>
      <c r="E151" s="41"/>
      <c r="F151" s="41"/>
      <c r="G151" s="43"/>
      <c r="H151" s="147" t="s">
        <v>56</v>
      </c>
      <c r="I151" s="169">
        <f ca="1">IFERROR(__xludf.DUMMYFUNCTION("IMPORTRANGE(""https://docs.google.com/spreadsheets/d/1eHaY18a8A9IcSdp1K8H6x8fbOy06t2VsZHhMHf-1x7Y/edit?usp=sharing"",""แผน!V26"")"),3)</f>
        <v>3</v>
      </c>
      <c r="J151" s="250">
        <v>0</v>
      </c>
      <c r="K151" s="47">
        <f ca="1">IF(I151&gt;0,J151*100/I151,0)</f>
        <v>0</v>
      </c>
      <c r="L151" s="46"/>
      <c r="M151" s="46"/>
      <c r="N151" s="46"/>
      <c r="O151" s="46"/>
      <c r="P151" s="46"/>
    </row>
    <row r="152" spans="1:16" ht="19.5" x14ac:dyDescent="0.3">
      <c r="A152" s="136"/>
      <c r="B152" s="41"/>
      <c r="C152" s="41"/>
      <c r="D152" s="155"/>
      <c r="E152" s="197" t="s">
        <v>59</v>
      </c>
      <c r="F152" s="41"/>
      <c r="G152" s="43"/>
      <c r="H152" s="147" t="s">
        <v>33</v>
      </c>
      <c r="I152" s="169">
        <f ca="1">IFERROR(__xludf.DUMMYFUNCTION("IMPORTRANGE(""https://docs.google.com/spreadsheets/d/1eHaY18a8A9IcSdp1K8H6x8fbOy06t2VsZHhMHf-1x7Y/edit?usp=sharing"",""แผน!W26"")"),40)</f>
        <v>40</v>
      </c>
      <c r="J152" s="250">
        <v>0</v>
      </c>
      <c r="K152" s="47">
        <f ca="1">IF(I152&gt;0,J152*100/I152,0)</f>
        <v>0</v>
      </c>
      <c r="L152" s="46"/>
      <c r="M152" s="46"/>
      <c r="N152" s="46"/>
      <c r="O152" s="46"/>
      <c r="P152" s="46"/>
    </row>
    <row r="153" spans="1:16" ht="18.75" x14ac:dyDescent="0.25">
      <c r="A153" s="136"/>
      <c r="B153" s="41"/>
      <c r="C153" s="41"/>
      <c r="D153" s="41"/>
      <c r="E153" s="41"/>
      <c r="F153" s="41"/>
      <c r="G153" s="43"/>
      <c r="H153" s="147" t="s">
        <v>56</v>
      </c>
      <c r="I153" s="169">
        <f ca="1">IFERROR(__xludf.DUMMYFUNCTION("IMPORTRANGE(""https://docs.google.com/spreadsheets/d/1eHaY18a8A9IcSdp1K8H6x8fbOy06t2VsZHhMHf-1x7Y/edit?usp=sharing"",""แผน!X26"")"),4)</f>
        <v>4</v>
      </c>
      <c r="J153" s="250">
        <v>0</v>
      </c>
      <c r="K153" s="47">
        <f ca="1">IF(I153&gt;0,J153*100/I153,0)</f>
        <v>0</v>
      </c>
      <c r="L153" s="46"/>
      <c r="M153" s="46"/>
      <c r="N153" s="46"/>
      <c r="O153" s="46"/>
      <c r="P153" s="46"/>
    </row>
    <row r="154" spans="1:16" ht="18.75" x14ac:dyDescent="0.25">
      <c r="A154" s="136"/>
      <c r="B154" s="41"/>
      <c r="C154" s="41"/>
      <c r="D154" s="254" t="s">
        <v>60</v>
      </c>
      <c r="E154" s="41"/>
      <c r="F154" s="41"/>
      <c r="G154" s="43"/>
      <c r="H154" s="147" t="s">
        <v>54</v>
      </c>
      <c r="I154" s="169">
        <f ca="1">IFERROR(__xludf.DUMMYFUNCTION("IMPORTRANGE(""https://docs.google.com/spreadsheets/d/1eHaY18a8A9IcSdp1K8H6x8fbOy06t2VsZHhMHf-1x7Y/edit?usp=sharing"",""แผน!Y26"")"),3)</f>
        <v>3</v>
      </c>
      <c r="J154" s="250">
        <v>0</v>
      </c>
      <c r="K154" s="47">
        <f ca="1">IF(I154&gt;0,J154*100/I154,0)</f>
        <v>0</v>
      </c>
      <c r="L154" s="46"/>
      <c r="M154" s="46"/>
      <c r="N154" s="46"/>
      <c r="O154" s="46"/>
      <c r="P154" s="46"/>
    </row>
    <row r="155" spans="1:16" ht="19.5" hidden="1" x14ac:dyDescent="0.3">
      <c r="A155" s="125" t="s">
        <v>61</v>
      </c>
      <c r="B155" s="126"/>
      <c r="C155" s="190"/>
      <c r="D155" s="126"/>
      <c r="E155" s="126"/>
      <c r="F155" s="126"/>
      <c r="G155" s="126"/>
      <c r="H155" s="126"/>
      <c r="I155" s="191"/>
      <c r="J155" s="191"/>
      <c r="K155" s="192"/>
      <c r="L155" s="130"/>
      <c r="M155" s="130"/>
      <c r="N155" s="130"/>
      <c r="O155" s="130"/>
      <c r="P155" s="130"/>
    </row>
    <row r="156" spans="1:16" ht="19.5" hidden="1" x14ac:dyDescent="0.3">
      <c r="A156" s="131"/>
      <c r="B156" s="132" t="s">
        <v>62</v>
      </c>
      <c r="C156" s="26"/>
      <c r="D156" s="26"/>
      <c r="E156" s="26"/>
      <c r="F156" s="26"/>
      <c r="G156" s="29"/>
      <c r="H156" s="198" t="s">
        <v>33</v>
      </c>
      <c r="I156" s="135">
        <f ca="1">I169</f>
        <v>0</v>
      </c>
      <c r="J156" s="135">
        <f>J169</f>
        <v>0</v>
      </c>
      <c r="K156" s="33">
        <f ca="1">IF(I156&gt;0,J156*100/I156,0)</f>
        <v>0</v>
      </c>
      <c r="L156" s="32"/>
      <c r="M156" s="32"/>
      <c r="N156" s="32"/>
      <c r="O156" s="32"/>
      <c r="P156" s="32"/>
    </row>
    <row r="157" spans="1:16" ht="19.5" hidden="1" x14ac:dyDescent="0.3">
      <c r="A157" s="136"/>
      <c r="B157" s="41"/>
      <c r="C157" s="197" t="s">
        <v>16</v>
      </c>
      <c r="D157" s="397" t="s">
        <v>17</v>
      </c>
      <c r="E157" s="41"/>
      <c r="F157" s="41"/>
      <c r="G157" s="43"/>
      <c r="H157" s="139" t="s">
        <v>12</v>
      </c>
      <c r="I157" s="45"/>
      <c r="J157" s="45"/>
      <c r="K157" s="46"/>
      <c r="L157" s="140">
        <f ca="1">L158+L159</f>
        <v>0</v>
      </c>
      <c r="M157" s="140">
        <f ca="1">M158+M159</f>
        <v>0</v>
      </c>
      <c r="N157" s="140">
        <f ca="1">N158+N159</f>
        <v>0</v>
      </c>
      <c r="O157" s="140">
        <f ca="1">IF(L157&gt;0,N157*100/L157,0)</f>
        <v>0</v>
      </c>
      <c r="P157" s="140">
        <f ca="1">IF(M157&gt;0,N157*100/M157,0)</f>
        <v>0</v>
      </c>
    </row>
    <row r="158" spans="1:16" ht="18.75" hidden="1" x14ac:dyDescent="0.25">
      <c r="A158" s="136"/>
      <c r="B158" s="41"/>
      <c r="C158" s="41"/>
      <c r="D158" s="41"/>
      <c r="E158" s="279" t="s">
        <v>18</v>
      </c>
      <c r="F158" s="41"/>
      <c r="G158" s="43"/>
      <c r="H158" s="141" t="s">
        <v>12</v>
      </c>
      <c r="I158" s="45"/>
      <c r="J158" s="45"/>
      <c r="K158" s="46"/>
      <c r="L158" s="50">
        <f>L161+L164</f>
        <v>0</v>
      </c>
      <c r="M158" s="50">
        <f>M161+M164</f>
        <v>0</v>
      </c>
      <c r="N158" s="50">
        <f>N161+N164</f>
        <v>0</v>
      </c>
      <c r="O158" s="50">
        <f>IF(L158&gt;0,N158*100/L158,0)</f>
        <v>0</v>
      </c>
      <c r="P158" s="50">
        <f>IF(M158&gt;0,N158*100/M158,0)</f>
        <v>0</v>
      </c>
    </row>
    <row r="159" spans="1:16" ht="18.75" hidden="1" x14ac:dyDescent="0.25">
      <c r="A159" s="136"/>
      <c r="B159" s="41"/>
      <c r="C159" s="41"/>
      <c r="D159" s="41"/>
      <c r="E159" s="254" t="s">
        <v>19</v>
      </c>
      <c r="F159" s="41"/>
      <c r="G159" s="43"/>
      <c r="H159" s="142" t="s">
        <v>12</v>
      </c>
      <c r="I159" s="45"/>
      <c r="J159" s="45"/>
      <c r="K159" s="46"/>
      <c r="L159" s="47">
        <f ca="1">L162+L165</f>
        <v>0</v>
      </c>
      <c r="M159" s="47">
        <f ca="1">M162+M165</f>
        <v>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</row>
    <row r="160" spans="1:16" ht="18.75" hidden="1" x14ac:dyDescent="0.25">
      <c r="A160" s="136"/>
      <c r="B160" s="41"/>
      <c r="C160" s="41"/>
      <c r="D160" s="42" t="s">
        <v>20</v>
      </c>
      <c r="E160" s="41"/>
      <c r="F160" s="41"/>
      <c r="G160" s="43"/>
      <c r="H160" s="143" t="s">
        <v>12</v>
      </c>
      <c r="I160" s="144"/>
      <c r="J160" s="144"/>
      <c r="K160" s="145"/>
      <c r="L160" s="47">
        <f ca="1">L161+L162</f>
        <v>0</v>
      </c>
      <c r="M160" s="47">
        <f ca="1">M161+M162</f>
        <v>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</row>
    <row r="161" spans="1:16" ht="18.75" hidden="1" x14ac:dyDescent="0.25">
      <c r="A161" s="136"/>
      <c r="B161" s="41"/>
      <c r="C161" s="41"/>
      <c r="D161" s="41"/>
      <c r="E161" s="279" t="s">
        <v>34</v>
      </c>
      <c r="F161" s="41"/>
      <c r="G161" s="43"/>
      <c r="H161" s="146" t="s">
        <v>12</v>
      </c>
      <c r="I161" s="144"/>
      <c r="J161" s="144"/>
      <c r="K161" s="145"/>
      <c r="L161" s="50">
        <v>0</v>
      </c>
      <c r="M161" s="50">
        <v>0</v>
      </c>
      <c r="N161" s="50">
        <v>0</v>
      </c>
      <c r="O161" s="50">
        <f>IF(L161&gt;0,N161*100/L161,0)</f>
        <v>0</v>
      </c>
      <c r="P161" s="50">
        <f>IF(M161&gt;0,N161*100/M161,0)</f>
        <v>0</v>
      </c>
    </row>
    <row r="162" spans="1:16" ht="18.75" hidden="1" x14ac:dyDescent="0.25">
      <c r="A162" s="136"/>
      <c r="B162" s="41"/>
      <c r="C162" s="41"/>
      <c r="D162" s="41"/>
      <c r="E162" s="254" t="s">
        <v>35</v>
      </c>
      <c r="F162" s="41"/>
      <c r="G162" s="43"/>
      <c r="H162" s="143" t="s">
        <v>12</v>
      </c>
      <c r="I162" s="144"/>
      <c r="J162" s="144"/>
      <c r="K162" s="145"/>
      <c r="L162" s="47">
        <f ca="1">IFERROR(__xludf.DUMMYFUNCTION("IMPORTRANGE(""https://docs.google.com/spreadsheets/d/1-uDff_7J0KD5mKrp0Vvzr7lt3OU09vwQwhkpOPPYv2Y/edit?usp=sharing"",""งบพรบ!CA26"")"),0)</f>
        <v>0</v>
      </c>
      <c r="M162" s="47">
        <f ca="1">IFERROR(__xludf.DUMMYFUNCTION("IMPORTRANGE(""https://docs.google.com/spreadsheets/d/1-uDff_7J0KD5mKrp0Vvzr7lt3OU09vwQwhkpOPPYv2Y/edit?usp=sharing"",""งบพรบ!CF26"")"),0)</f>
        <v>0</v>
      </c>
      <c r="N162" s="47">
        <f ca="1">IFERROR(__xludf.DUMMYFUNCTION("IMPORTRANGE(""https://docs.google.com/spreadsheets/d/1-uDff_7J0KD5mKrp0Vvzr7lt3OU09vwQwhkpOPPYv2Y/edit?usp=sharing"",""งบพรบ!CH26"")"),0)</f>
        <v>0</v>
      </c>
      <c r="O162" s="47">
        <f ca="1">IF(L162&gt;0,N162*100/L162,0)</f>
        <v>0</v>
      </c>
      <c r="P162" s="47">
        <f ca="1">IF(M162&gt;0,N162*100/M162,0)</f>
        <v>0</v>
      </c>
    </row>
    <row r="163" spans="1:16" ht="18.75" hidden="1" x14ac:dyDescent="0.25">
      <c r="A163" s="136"/>
      <c r="B163" s="41"/>
      <c r="C163" s="41"/>
      <c r="D163" s="42" t="s">
        <v>21</v>
      </c>
      <c r="E163" s="41"/>
      <c r="F163" s="41"/>
      <c r="G163" s="43"/>
      <c r="H163" s="147" t="s">
        <v>12</v>
      </c>
      <c r="I163" s="144"/>
      <c r="J163" s="144"/>
      <c r="K163" s="145"/>
      <c r="L163" s="47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</row>
    <row r="164" spans="1:16" ht="18.75" hidden="1" x14ac:dyDescent="0.25">
      <c r="A164" s="136"/>
      <c r="B164" s="41"/>
      <c r="C164" s="41"/>
      <c r="D164" s="41"/>
      <c r="E164" s="279" t="s">
        <v>18</v>
      </c>
      <c r="F164" s="41"/>
      <c r="G164" s="43"/>
      <c r="H164" s="146" t="s">
        <v>12</v>
      </c>
      <c r="I164" s="144"/>
      <c r="J164" s="144"/>
      <c r="K164" s="145"/>
      <c r="L164" s="50">
        <v>0</v>
      </c>
      <c r="M164" s="50">
        <v>0</v>
      </c>
      <c r="N164" s="50">
        <v>0</v>
      </c>
      <c r="O164" s="50">
        <f>IF(L164&gt;0,N164*100/L164,0)</f>
        <v>0</v>
      </c>
      <c r="P164" s="50">
        <f>IF(M164&gt;0,N164*100/M164,0)</f>
        <v>0</v>
      </c>
    </row>
    <row r="165" spans="1:16" ht="18.75" hidden="1" x14ac:dyDescent="0.25">
      <c r="A165" s="136"/>
      <c r="B165" s="41"/>
      <c r="C165" s="41"/>
      <c r="D165" s="41"/>
      <c r="E165" s="254" t="s">
        <v>19</v>
      </c>
      <c r="F165" s="41"/>
      <c r="G165" s="43"/>
      <c r="H165" s="147" t="s">
        <v>12</v>
      </c>
      <c r="I165" s="144"/>
      <c r="J165" s="144"/>
      <c r="K165" s="145"/>
      <c r="L165" s="47">
        <f ca="1">IFERROR(__xludf.DUMMYFUNCTION("IMPORTRANGE(""https://docs.google.com/spreadsheets/d/1-uDff_7J0KD5mKrp0Vvzr7lt3OU09vwQwhkpOPPYv2Y/edit?usp=sharing"",""งบพรบ!CD26"")"),0)</f>
        <v>0</v>
      </c>
      <c r="M165" s="47">
        <f ca="1">IFERROR(__xludf.DUMMYFUNCTION("IMPORTRANGE(""https://docs.google.com/spreadsheets/d/1-uDff_7J0KD5mKrp0Vvzr7lt3OU09vwQwhkpOPPYv2Y/edit?usp=sharing"",""งบพรบ!CG26"")"),0)</f>
        <v>0</v>
      </c>
      <c r="N165" s="47">
        <f ca="1">IFERROR(__xludf.DUMMYFUNCTION("IMPORTRANGE(""https://docs.google.com/spreadsheets/d/1-uDff_7J0KD5mKrp0Vvzr7lt3OU09vwQwhkpOPPYv2Y/edit?usp=sharing"",""งบพรบ!CI26"")"),0)</f>
        <v>0</v>
      </c>
      <c r="O165" s="47">
        <f ca="1">IF(L165&gt;0,N165*100/L165,0)</f>
        <v>0</v>
      </c>
      <c r="P165" s="47">
        <f ca="1">IF(M165&gt;0,N165*100/M165,0)</f>
        <v>0</v>
      </c>
    </row>
    <row r="166" spans="1:16" ht="19.5" hidden="1" x14ac:dyDescent="0.3">
      <c r="A166" s="148"/>
      <c r="B166" s="149"/>
      <c r="C166" s="197" t="s">
        <v>16</v>
      </c>
      <c r="D166" s="395" t="s">
        <v>36</v>
      </c>
      <c r="E166" s="151"/>
      <c r="F166" s="151"/>
      <c r="G166" s="152"/>
      <c r="H166" s="196"/>
      <c r="I166" s="45"/>
      <c r="J166" s="45"/>
      <c r="K166" s="46"/>
      <c r="L166" s="46"/>
      <c r="M166" s="46"/>
      <c r="N166" s="46"/>
      <c r="O166" s="46"/>
      <c r="P166" s="46"/>
    </row>
    <row r="167" spans="1:16" ht="18.75" hidden="1" x14ac:dyDescent="0.25">
      <c r="A167" s="136"/>
      <c r="B167" s="41"/>
      <c r="C167" s="41"/>
      <c r="D167" s="254" t="s">
        <v>63</v>
      </c>
      <c r="E167" s="41"/>
      <c r="F167" s="41"/>
      <c r="G167" s="43"/>
      <c r="H167" s="147" t="s">
        <v>33</v>
      </c>
      <c r="I167" s="169">
        <f ca="1">IFERROR(__xludf.DUMMYFUNCTION("IMPORTRANGE(""https://docs.google.com/spreadsheets/d/1eHaY18a8A9IcSdp1K8H6x8fbOy06t2VsZHhMHf-1x7Y/edit?usp=sharing"",""แผน!Z26"")"),0)</f>
        <v>0</v>
      </c>
      <c r="J167" s="250">
        <v>0</v>
      </c>
      <c r="K167" s="47">
        <f ca="1">IF(I167&gt;0,J167*100/I167,0)</f>
        <v>0</v>
      </c>
      <c r="L167" s="46"/>
      <c r="M167" s="46"/>
      <c r="N167" s="46"/>
      <c r="O167" s="46"/>
      <c r="P167" s="46"/>
    </row>
    <row r="168" spans="1:16" ht="18.75" hidden="1" x14ac:dyDescent="0.25">
      <c r="A168" s="136"/>
      <c r="B168" s="41"/>
      <c r="C168" s="41"/>
      <c r="D168" s="279" t="s">
        <v>64</v>
      </c>
      <c r="E168" s="41"/>
      <c r="F168" s="41"/>
      <c r="G168" s="43"/>
      <c r="H168" s="199" t="s">
        <v>33</v>
      </c>
      <c r="I168" s="200">
        <f ca="1">IFERROR(__xludf.DUMMYFUNCTION("IMPORTRANGE(""https://docs.google.com/spreadsheets/d/1eHaY18a8A9IcSdp1K8H6x8fbOy06t2VsZHhMHf-1x7Y/edit?usp=sharing"",""แผน!Z26"")"),0)</f>
        <v>0</v>
      </c>
      <c r="J168" s="201">
        <v>0</v>
      </c>
      <c r="K168" s="50">
        <f ca="1">IF(I168&gt;0,J168*100/I168,0)</f>
        <v>0</v>
      </c>
      <c r="L168" s="46"/>
      <c r="M168" s="46"/>
      <c r="N168" s="46"/>
      <c r="O168" s="46"/>
      <c r="P168" s="46"/>
    </row>
    <row r="169" spans="1:16" ht="18.75" hidden="1" x14ac:dyDescent="0.25">
      <c r="A169" s="202"/>
      <c r="B169" s="1"/>
      <c r="C169" s="1"/>
      <c r="D169" s="203" t="s">
        <v>65</v>
      </c>
      <c r="E169" s="1"/>
      <c r="F169" s="1"/>
      <c r="G169" s="54"/>
      <c r="H169" s="204" t="s">
        <v>33</v>
      </c>
      <c r="I169" s="205">
        <f ca="1">IFERROR(__xludf.DUMMYFUNCTION("IMPORTRANGE(""https://docs.google.com/spreadsheets/d/1eHaY18a8A9IcSdp1K8H6x8fbOy06t2VsZHhMHf-1x7Y/edit?usp=sharing"",""แผน!Z26"")"),0)</f>
        <v>0</v>
      </c>
      <c r="J169" s="206">
        <v>0</v>
      </c>
      <c r="K169" s="207">
        <f ca="1">IF(I169&gt;0,J169*100/I169,0)</f>
        <v>0</v>
      </c>
      <c r="L169" s="57"/>
      <c r="M169" s="57"/>
      <c r="N169" s="57"/>
      <c r="O169" s="57"/>
      <c r="P169" s="57"/>
    </row>
    <row r="170" spans="1:16" ht="19.5" x14ac:dyDescent="0.3">
      <c r="A170" s="208" t="s">
        <v>66</v>
      </c>
      <c r="B170" s="209"/>
      <c r="C170" s="209"/>
      <c r="D170" s="209"/>
      <c r="E170" s="210"/>
      <c r="F170" s="210"/>
      <c r="G170" s="210"/>
      <c r="H170" s="210"/>
      <c r="I170" s="211"/>
      <c r="J170" s="211"/>
      <c r="K170" s="212"/>
      <c r="L170" s="212"/>
      <c r="M170" s="212"/>
      <c r="N170" s="212"/>
      <c r="O170" s="212"/>
      <c r="P170" s="213"/>
    </row>
    <row r="171" spans="1:16" ht="19.5" x14ac:dyDescent="0.3">
      <c r="A171" s="214" t="s">
        <v>67</v>
      </c>
      <c r="B171" s="215"/>
      <c r="C171" s="215"/>
      <c r="D171" s="216"/>
      <c r="E171" s="216"/>
      <c r="F171" s="216"/>
      <c r="G171" s="216"/>
      <c r="H171" s="217"/>
      <c r="I171" s="218"/>
      <c r="J171" s="218"/>
      <c r="K171" s="219"/>
      <c r="L171" s="219"/>
      <c r="M171" s="219"/>
      <c r="N171" s="219"/>
      <c r="O171" s="219"/>
      <c r="P171" s="219"/>
    </row>
    <row r="172" spans="1:16" ht="19.5" x14ac:dyDescent="0.3">
      <c r="A172" s="220"/>
      <c r="B172" s="221" t="s">
        <v>68</v>
      </c>
      <c r="C172" s="222"/>
      <c r="D172" s="151"/>
      <c r="E172" s="151"/>
      <c r="F172" s="151"/>
      <c r="G172" s="152"/>
      <c r="H172" s="223" t="s">
        <v>33</v>
      </c>
      <c r="I172" s="224">
        <f ca="1">I183+I184</f>
        <v>7</v>
      </c>
      <c r="J172" s="224">
        <f>J183+J184</f>
        <v>0</v>
      </c>
      <c r="K172" s="225">
        <f ca="1">IF(I172&gt;0,J172*100/I172,0)</f>
        <v>0</v>
      </c>
      <c r="L172" s="226"/>
      <c r="M172" s="226"/>
      <c r="N172" s="226"/>
      <c r="O172" s="226"/>
      <c r="P172" s="226"/>
    </row>
    <row r="173" spans="1:16" ht="19.5" x14ac:dyDescent="0.3">
      <c r="A173" s="136"/>
      <c r="B173" s="41"/>
      <c r="C173" s="197" t="s">
        <v>16</v>
      </c>
      <c r="D173" s="397" t="s">
        <v>17</v>
      </c>
      <c r="E173" s="41"/>
      <c r="F173" s="41"/>
      <c r="G173" s="43"/>
      <c r="H173" s="139" t="s">
        <v>12</v>
      </c>
      <c r="I173" s="45"/>
      <c r="J173" s="45"/>
      <c r="K173" s="46"/>
      <c r="L173" s="140">
        <f ca="1">L174+L175</f>
        <v>19590</v>
      </c>
      <c r="M173" s="140">
        <f ca="1">M174+M175</f>
        <v>19590</v>
      </c>
      <c r="N173" s="140">
        <f ca="1">N174+N175</f>
        <v>0</v>
      </c>
      <c r="O173" s="140">
        <f ca="1">IF(L173&gt;0,N173*100/L173,0)</f>
        <v>0</v>
      </c>
      <c r="P173" s="140">
        <f ca="1">IF(M173&gt;0,N173*100/M173,0)</f>
        <v>0</v>
      </c>
    </row>
    <row r="174" spans="1:16" ht="18.75" hidden="1" x14ac:dyDescent="0.25">
      <c r="A174" s="136"/>
      <c r="B174" s="41"/>
      <c r="C174" s="41"/>
      <c r="D174" s="41"/>
      <c r="E174" s="279" t="s">
        <v>18</v>
      </c>
      <c r="F174" s="41"/>
      <c r="G174" s="43"/>
      <c r="H174" s="141" t="s">
        <v>12</v>
      </c>
      <c r="I174" s="45"/>
      <c r="J174" s="45"/>
      <c r="K174" s="46"/>
      <c r="L174" s="50">
        <f>L177+L180</f>
        <v>0</v>
      </c>
      <c r="M174" s="50">
        <f>M177+M180</f>
        <v>0</v>
      </c>
      <c r="N174" s="50">
        <f>N177+N180</f>
        <v>0</v>
      </c>
      <c r="O174" s="50">
        <f>IF(L174&gt;0,N174*100/L174,0)</f>
        <v>0</v>
      </c>
      <c r="P174" s="50">
        <f>IF(M174&gt;0,N174*100/M174,0)</f>
        <v>0</v>
      </c>
    </row>
    <row r="175" spans="1:16" ht="18.75" x14ac:dyDescent="0.25">
      <c r="A175" s="136"/>
      <c r="B175" s="41"/>
      <c r="C175" s="41"/>
      <c r="D175" s="41"/>
      <c r="E175" s="254" t="s">
        <v>19</v>
      </c>
      <c r="F175" s="41"/>
      <c r="G175" s="43"/>
      <c r="H175" s="142" t="s">
        <v>12</v>
      </c>
      <c r="I175" s="45"/>
      <c r="J175" s="45"/>
      <c r="K175" s="46"/>
      <c r="L175" s="47">
        <f ca="1">L178+L181</f>
        <v>19590</v>
      </c>
      <c r="M175" s="47">
        <f ca="1">M178+M181</f>
        <v>19590</v>
      </c>
      <c r="N175" s="47">
        <f ca="1">N178+N181</f>
        <v>0</v>
      </c>
      <c r="O175" s="47">
        <f ca="1">IF(L175&gt;0,N175*100/L175,0)</f>
        <v>0</v>
      </c>
      <c r="P175" s="47">
        <f ca="1">IF(M175&gt;0,N175*100/M175,0)</f>
        <v>0</v>
      </c>
    </row>
    <row r="176" spans="1:16" ht="18.75" x14ac:dyDescent="0.25">
      <c r="A176" s="136"/>
      <c r="B176" s="41"/>
      <c r="C176" s="41"/>
      <c r="D176" s="42" t="s">
        <v>20</v>
      </c>
      <c r="E176" s="41"/>
      <c r="F176" s="41"/>
      <c r="G176" s="43"/>
      <c r="H176" s="143" t="s">
        <v>12</v>
      </c>
      <c r="I176" s="144"/>
      <c r="J176" s="144"/>
      <c r="K176" s="145"/>
      <c r="L176" s="47">
        <f ca="1">L177+L178</f>
        <v>19590</v>
      </c>
      <c r="M176" s="47">
        <f ca="1">M177+M178</f>
        <v>19590</v>
      </c>
      <c r="N176" s="47">
        <f ca="1">N177+N178</f>
        <v>0</v>
      </c>
      <c r="O176" s="47">
        <f ca="1">IF(L176&gt;0,N176*100/L176,0)</f>
        <v>0</v>
      </c>
      <c r="P176" s="47">
        <f ca="1">IF(M176&gt;0,N176*100/M176,0)</f>
        <v>0</v>
      </c>
    </row>
    <row r="177" spans="1:16" ht="18.75" hidden="1" x14ac:dyDescent="0.25">
      <c r="A177" s="136"/>
      <c r="B177" s="41"/>
      <c r="C177" s="41"/>
      <c r="D177" s="41"/>
      <c r="E177" s="279" t="s">
        <v>34</v>
      </c>
      <c r="F177" s="41"/>
      <c r="G177" s="43"/>
      <c r="H177" s="146" t="s">
        <v>12</v>
      </c>
      <c r="I177" s="144"/>
      <c r="J177" s="144"/>
      <c r="K177" s="145"/>
      <c r="L177" s="50">
        <v>0</v>
      </c>
      <c r="M177" s="50">
        <v>0</v>
      </c>
      <c r="N177" s="50">
        <v>0</v>
      </c>
      <c r="O177" s="50">
        <f>IF(L177&gt;0,N177*100/L177,0)</f>
        <v>0</v>
      </c>
      <c r="P177" s="50">
        <f>IF(M177&gt;0,N177*100/M177,0)</f>
        <v>0</v>
      </c>
    </row>
    <row r="178" spans="1:16" ht="18.75" x14ac:dyDescent="0.25">
      <c r="A178" s="136"/>
      <c r="B178" s="41"/>
      <c r="C178" s="41"/>
      <c r="D178" s="41"/>
      <c r="E178" s="254" t="s">
        <v>35</v>
      </c>
      <c r="F178" s="41"/>
      <c r="G178" s="43"/>
      <c r="H178" s="143" t="s">
        <v>12</v>
      </c>
      <c r="I178" s="144"/>
      <c r="J178" s="144"/>
      <c r="K178" s="145"/>
      <c r="L178" s="47">
        <f ca="1">IFERROR(__xludf.DUMMYFUNCTION("IMPORTRANGE(""https://docs.google.com/spreadsheets/d/1-uDff_7J0KD5mKrp0Vvzr7lt3OU09vwQwhkpOPPYv2Y/edit?usp=sharing"",""งบพรบ!CK26"")"),19590)</f>
        <v>19590</v>
      </c>
      <c r="M178" s="47">
        <f ca="1">IFERROR(__xludf.DUMMYFUNCTION("IMPORTRANGE(""https://docs.google.com/spreadsheets/d/1-uDff_7J0KD5mKrp0Vvzr7lt3OU09vwQwhkpOPPYv2Y/edit?usp=sharing"",""งบพรบ!CP26"")"),19590)</f>
        <v>19590</v>
      </c>
      <c r="N178" s="47">
        <f ca="1">IFERROR(__xludf.DUMMYFUNCTION("IMPORTRANGE(""https://docs.google.com/spreadsheets/d/1-uDff_7J0KD5mKrp0Vvzr7lt3OU09vwQwhkpOPPYv2Y/edit?usp=sharing"",""งบพรบ!CR26"")"),0)</f>
        <v>0</v>
      </c>
      <c r="O178" s="47">
        <f ca="1">IF(L178&gt;0,N178*100/L178,0)</f>
        <v>0</v>
      </c>
      <c r="P178" s="47">
        <f ca="1">IF(M178&gt;0,N178*100/M178,0)</f>
        <v>0</v>
      </c>
    </row>
    <row r="179" spans="1:16" ht="18.75" x14ac:dyDescent="0.25">
      <c r="A179" s="136"/>
      <c r="B179" s="41"/>
      <c r="C179" s="41"/>
      <c r="D179" s="42" t="s">
        <v>21</v>
      </c>
      <c r="E179" s="41"/>
      <c r="F179" s="41"/>
      <c r="G179" s="43"/>
      <c r="H179" s="147" t="s">
        <v>12</v>
      </c>
      <c r="I179" s="144"/>
      <c r="J179" s="144"/>
      <c r="K179" s="145"/>
      <c r="L179" s="47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</row>
    <row r="180" spans="1:16" ht="18.75" hidden="1" x14ac:dyDescent="0.25">
      <c r="A180" s="136"/>
      <c r="B180" s="41"/>
      <c r="C180" s="41"/>
      <c r="D180" s="41"/>
      <c r="E180" s="279" t="s">
        <v>18</v>
      </c>
      <c r="F180" s="41"/>
      <c r="G180" s="43"/>
      <c r="H180" s="146" t="s">
        <v>12</v>
      </c>
      <c r="I180" s="144"/>
      <c r="J180" s="144"/>
      <c r="K180" s="145"/>
      <c r="L180" s="50">
        <v>0</v>
      </c>
      <c r="M180" s="50">
        <v>0</v>
      </c>
      <c r="N180" s="50">
        <v>0</v>
      </c>
      <c r="O180" s="50">
        <f>IF(L180&gt;0,N180*100/L180,0)</f>
        <v>0</v>
      </c>
      <c r="P180" s="50">
        <f>IF(M180&gt;0,N180*100/M180,0)</f>
        <v>0</v>
      </c>
    </row>
    <row r="181" spans="1:16" ht="18.75" x14ac:dyDescent="0.25">
      <c r="A181" s="136"/>
      <c r="B181" s="41"/>
      <c r="C181" s="41"/>
      <c r="D181" s="41"/>
      <c r="E181" s="254" t="s">
        <v>19</v>
      </c>
      <c r="F181" s="41"/>
      <c r="G181" s="43"/>
      <c r="H181" s="147" t="s">
        <v>12</v>
      </c>
      <c r="I181" s="144"/>
      <c r="J181" s="144"/>
      <c r="K181" s="145"/>
      <c r="L181" s="47">
        <f ca="1">IFERROR(__xludf.DUMMYFUNCTION("IMPORTRANGE(""https://docs.google.com/spreadsheets/d/1-uDff_7J0KD5mKrp0Vvzr7lt3OU09vwQwhkpOPPYv2Y/edit?usp=sharing"",""งบพรบ!CN26"")"),0)</f>
        <v>0</v>
      </c>
      <c r="M181" s="47">
        <f ca="1">IFERROR(__xludf.DUMMYFUNCTION("IMPORTRANGE(""https://docs.google.com/spreadsheets/d/1-uDff_7J0KD5mKrp0Vvzr7lt3OU09vwQwhkpOPPYv2Y/edit?usp=sharing"",""งบพรบ!CQ26"")"),0)</f>
        <v>0</v>
      </c>
      <c r="N181" s="47">
        <f ca="1">IFERROR(__xludf.DUMMYFUNCTION("IMPORTRANGE(""https://docs.google.com/spreadsheets/d/1-uDff_7J0KD5mKrp0Vvzr7lt3OU09vwQwhkpOPPYv2Y/edit?usp=sharing"",""งบพรบ!CS26"")"),0)</f>
        <v>0</v>
      </c>
      <c r="O181" s="47">
        <f ca="1">IF(L181&gt;0,N181*100/L181,0)</f>
        <v>0</v>
      </c>
      <c r="P181" s="47">
        <f ca="1">IF(M181&gt;0,N181*100/M181,0)</f>
        <v>0</v>
      </c>
    </row>
    <row r="182" spans="1:16" ht="19.5" x14ac:dyDescent="0.3">
      <c r="A182" s="148"/>
      <c r="B182" s="149"/>
      <c r="C182" s="197" t="s">
        <v>16</v>
      </c>
      <c r="D182" s="395" t="s">
        <v>36</v>
      </c>
      <c r="E182" s="151"/>
      <c r="F182" s="151"/>
      <c r="G182" s="152"/>
      <c r="H182" s="196"/>
      <c r="I182" s="45"/>
      <c r="J182" s="45"/>
      <c r="K182" s="46"/>
      <c r="L182" s="46"/>
      <c r="M182" s="46"/>
      <c r="N182" s="46"/>
      <c r="O182" s="46"/>
      <c r="P182" s="46"/>
    </row>
    <row r="183" spans="1:16" ht="18.75" x14ac:dyDescent="0.25">
      <c r="A183" s="227"/>
      <c r="B183" s="41"/>
      <c r="C183" s="228"/>
      <c r="D183" s="229" t="s">
        <v>69</v>
      </c>
      <c r="E183" s="41"/>
      <c r="F183" s="41"/>
      <c r="G183" s="43"/>
      <c r="H183" s="230" t="s">
        <v>33</v>
      </c>
      <c r="I183" s="169">
        <f ca="1">IFERROR(__xludf.DUMMYFUNCTION("IMPORTRANGE(""https://docs.google.com/spreadsheets/d/1eHaY18a8A9IcSdp1K8H6x8fbOy06t2VsZHhMHf-1x7Y/edit?usp=sharing"",""แผน!AA26"")"),7)</f>
        <v>7</v>
      </c>
      <c r="J183" s="250">
        <v>0</v>
      </c>
      <c r="K183" s="47">
        <f ca="1">IF(I183&gt;0,J183*100/I183,0)</f>
        <v>0</v>
      </c>
      <c r="L183" s="46"/>
      <c r="M183" s="46"/>
      <c r="N183" s="46"/>
      <c r="O183" s="46"/>
      <c r="P183" s="46"/>
    </row>
    <row r="184" spans="1:16" ht="18.75" hidden="1" x14ac:dyDescent="0.25">
      <c r="A184" s="227"/>
      <c r="B184" s="228"/>
      <c r="C184" s="228"/>
      <c r="D184" s="231" t="s">
        <v>70</v>
      </c>
      <c r="E184" s="41"/>
      <c r="F184" s="41"/>
      <c r="G184" s="43"/>
      <c r="H184" s="232" t="s">
        <v>33</v>
      </c>
      <c r="I184" s="200">
        <v>0</v>
      </c>
      <c r="J184" s="200">
        <v>0</v>
      </c>
      <c r="K184" s="50">
        <f>IF(I184&gt;0,J184*100/I184,0)</f>
        <v>0</v>
      </c>
      <c r="L184" s="46"/>
      <c r="M184" s="46"/>
      <c r="N184" s="46"/>
      <c r="O184" s="46"/>
      <c r="P184" s="46"/>
    </row>
    <row r="185" spans="1:16" ht="19.5" x14ac:dyDescent="0.3">
      <c r="A185" s="220"/>
      <c r="B185" s="221" t="s">
        <v>71</v>
      </c>
      <c r="C185" s="222"/>
      <c r="D185" s="151"/>
      <c r="E185" s="151"/>
      <c r="F185" s="151"/>
      <c r="G185" s="152"/>
      <c r="H185" s="223" t="s">
        <v>33</v>
      </c>
      <c r="I185" s="224">
        <f ca="1">I230+I231</f>
        <v>0</v>
      </c>
      <c r="J185" s="224">
        <f>J230+J231</f>
        <v>0</v>
      </c>
      <c r="K185" s="225">
        <f ca="1">IF(I185&gt;0,J185*100/I185,0)</f>
        <v>0</v>
      </c>
      <c r="L185" s="226"/>
      <c r="M185" s="226"/>
      <c r="N185" s="226"/>
      <c r="O185" s="226"/>
      <c r="P185" s="226"/>
    </row>
    <row r="186" spans="1:16" ht="19.5" x14ac:dyDescent="0.3">
      <c r="A186" s="136"/>
      <c r="B186" s="41"/>
      <c r="C186" s="197" t="s">
        <v>16</v>
      </c>
      <c r="D186" s="397" t="s">
        <v>17</v>
      </c>
      <c r="E186" s="41"/>
      <c r="F186" s="41"/>
      <c r="G186" s="43"/>
      <c r="H186" s="139" t="s">
        <v>12</v>
      </c>
      <c r="I186" s="45"/>
      <c r="J186" s="45"/>
      <c r="K186" s="46"/>
      <c r="L186" s="140">
        <f ca="1">L187+L188</f>
        <v>121500</v>
      </c>
      <c r="M186" s="140">
        <f ca="1">M187+M188</f>
        <v>78500</v>
      </c>
      <c r="N186" s="140">
        <f ca="1">N187+N188</f>
        <v>12566.67</v>
      </c>
      <c r="O186" s="140">
        <f ca="1">IF(L186&gt;0,N186*100/L186,0)</f>
        <v>10.342938271604938</v>
      </c>
      <c r="P186" s="140">
        <f ca="1">IF(M186&gt;0,N186*100/M186,0)</f>
        <v>16.008496815286623</v>
      </c>
    </row>
    <row r="187" spans="1:16" ht="18.75" hidden="1" x14ac:dyDescent="0.25">
      <c r="A187" s="136"/>
      <c r="B187" s="41"/>
      <c r="C187" s="41"/>
      <c r="D187" s="41"/>
      <c r="E187" s="279" t="s">
        <v>18</v>
      </c>
      <c r="F187" s="41"/>
      <c r="G187" s="43"/>
      <c r="H187" s="141" t="s">
        <v>12</v>
      </c>
      <c r="I187" s="45"/>
      <c r="J187" s="45"/>
      <c r="K187" s="46"/>
      <c r="L187" s="50">
        <f>L190+L193</f>
        <v>0</v>
      </c>
      <c r="M187" s="50">
        <f>M190+M193</f>
        <v>0</v>
      </c>
      <c r="N187" s="50">
        <f>N190+N193</f>
        <v>0</v>
      </c>
      <c r="O187" s="50">
        <f>IF(L187&gt;0,N187*100/L187,0)</f>
        <v>0</v>
      </c>
      <c r="P187" s="50">
        <f>IF(M187&gt;0,N187*100/M187,0)</f>
        <v>0</v>
      </c>
    </row>
    <row r="188" spans="1:16" ht="18.75" x14ac:dyDescent="0.25">
      <c r="A188" s="136"/>
      <c r="B188" s="41"/>
      <c r="C188" s="41"/>
      <c r="D188" s="41"/>
      <c r="E188" s="254" t="s">
        <v>19</v>
      </c>
      <c r="F188" s="41"/>
      <c r="G188" s="43"/>
      <c r="H188" s="142" t="s">
        <v>12</v>
      </c>
      <c r="I188" s="45"/>
      <c r="J188" s="45"/>
      <c r="K188" s="46"/>
      <c r="L188" s="47">
        <f ca="1">L191+L194</f>
        <v>121500</v>
      </c>
      <c r="M188" s="47">
        <f ca="1">M191+M194</f>
        <v>78500</v>
      </c>
      <c r="N188" s="47">
        <f ca="1">N191+N194</f>
        <v>12566.67</v>
      </c>
      <c r="O188" s="47">
        <f ca="1">IF(L188&gt;0,N188*100/L188,0)</f>
        <v>10.342938271604938</v>
      </c>
      <c r="P188" s="47">
        <f ca="1">IF(M188&gt;0,N188*100/M188,0)</f>
        <v>16.008496815286623</v>
      </c>
    </row>
    <row r="189" spans="1:16" ht="18.75" x14ac:dyDescent="0.25">
      <c r="A189" s="136"/>
      <c r="B189" s="41"/>
      <c r="C189" s="41"/>
      <c r="D189" s="42" t="s">
        <v>20</v>
      </c>
      <c r="E189" s="41"/>
      <c r="F189" s="41"/>
      <c r="G189" s="43"/>
      <c r="H189" s="143" t="s">
        <v>12</v>
      </c>
      <c r="I189" s="144"/>
      <c r="J189" s="144"/>
      <c r="K189" s="145"/>
      <c r="L189" s="47">
        <f ca="1">L190+L191</f>
        <v>121500</v>
      </c>
      <c r="M189" s="47">
        <f ca="1">M190+M191</f>
        <v>78500</v>
      </c>
      <c r="N189" s="47">
        <f ca="1">N190+N191</f>
        <v>12566.67</v>
      </c>
      <c r="O189" s="47">
        <f ca="1">IF(L189&gt;0,N189*100/L189,0)</f>
        <v>10.342938271604938</v>
      </c>
      <c r="P189" s="47">
        <f ca="1">IF(M189&gt;0,N189*100/M189,0)</f>
        <v>16.008496815286623</v>
      </c>
    </row>
    <row r="190" spans="1:16" ht="18.75" hidden="1" x14ac:dyDescent="0.25">
      <c r="A190" s="136"/>
      <c r="B190" s="41"/>
      <c r="C190" s="41"/>
      <c r="D190" s="41"/>
      <c r="E190" s="279" t="s">
        <v>34</v>
      </c>
      <c r="F190" s="41"/>
      <c r="G190" s="43"/>
      <c r="H190" s="146" t="s">
        <v>12</v>
      </c>
      <c r="I190" s="144"/>
      <c r="J190" s="144"/>
      <c r="K190" s="145"/>
      <c r="L190" s="50">
        <v>0</v>
      </c>
      <c r="M190" s="50">
        <v>0</v>
      </c>
      <c r="N190" s="50">
        <v>0</v>
      </c>
      <c r="O190" s="50">
        <f>IF(L190&gt;0,N190*100/L190,0)</f>
        <v>0</v>
      </c>
      <c r="P190" s="50">
        <f>IF(M190&gt;0,N190*100/M190,0)</f>
        <v>0</v>
      </c>
    </row>
    <row r="191" spans="1:16" ht="18.75" x14ac:dyDescent="0.25">
      <c r="A191" s="136"/>
      <c r="B191" s="41"/>
      <c r="C191" s="41"/>
      <c r="D191" s="41"/>
      <c r="E191" s="254" t="s">
        <v>35</v>
      </c>
      <c r="F191" s="41"/>
      <c r="G191" s="43"/>
      <c r="H191" s="143" t="s">
        <v>12</v>
      </c>
      <c r="I191" s="144"/>
      <c r="J191" s="144"/>
      <c r="K191" s="145"/>
      <c r="L191" s="47">
        <f ca="1">IFERROR(__xludf.DUMMYFUNCTION("IMPORTRANGE(""https://docs.google.com/spreadsheets/d/1-uDff_7J0KD5mKrp0Vvzr7lt3OU09vwQwhkpOPPYv2Y/edit?usp=sharing"",""งบพรบ!CU26"")"),121500)</f>
        <v>121500</v>
      </c>
      <c r="M191" s="47">
        <f ca="1">IFERROR(__xludf.DUMMYFUNCTION("IMPORTRANGE(""https://docs.google.com/spreadsheets/d/1-uDff_7J0KD5mKrp0Vvzr7lt3OU09vwQwhkpOPPYv2Y/edit?usp=sharing"",""งบพรบ!CZ26"")"),78500)</f>
        <v>78500</v>
      </c>
      <c r="N191" s="47">
        <f ca="1">IFERROR(__xludf.DUMMYFUNCTION("IMPORTRANGE(""https://docs.google.com/spreadsheets/d/1-uDff_7J0KD5mKrp0Vvzr7lt3OU09vwQwhkpOPPYv2Y/edit?usp=sharing"",""งบพรบ!DB26"")"),12566.67)</f>
        <v>12566.67</v>
      </c>
      <c r="O191" s="47">
        <f ca="1">IF(L191&gt;0,N191*100/L191,0)</f>
        <v>10.342938271604938</v>
      </c>
      <c r="P191" s="47">
        <f ca="1">IF(M191&gt;0,N191*100/M191,0)</f>
        <v>16.008496815286623</v>
      </c>
    </row>
    <row r="192" spans="1:16" ht="18.75" x14ac:dyDescent="0.25">
      <c r="A192" s="136"/>
      <c r="B192" s="41"/>
      <c r="C192" s="41"/>
      <c r="D192" s="42" t="s">
        <v>21</v>
      </c>
      <c r="E192" s="41"/>
      <c r="F192" s="41"/>
      <c r="G192" s="43"/>
      <c r="H192" s="147" t="s">
        <v>12</v>
      </c>
      <c r="I192" s="144"/>
      <c r="J192" s="144"/>
      <c r="K192" s="145"/>
      <c r="L192" s="47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</row>
    <row r="193" spans="1:16" ht="18.75" hidden="1" x14ac:dyDescent="0.25">
      <c r="A193" s="136"/>
      <c r="B193" s="41"/>
      <c r="C193" s="41"/>
      <c r="D193" s="41"/>
      <c r="E193" s="279" t="s">
        <v>18</v>
      </c>
      <c r="F193" s="41"/>
      <c r="G193" s="43"/>
      <c r="H193" s="146" t="s">
        <v>12</v>
      </c>
      <c r="I193" s="144"/>
      <c r="J193" s="144"/>
      <c r="K193" s="145"/>
      <c r="L193" s="50">
        <v>0</v>
      </c>
      <c r="M193" s="50">
        <v>0</v>
      </c>
      <c r="N193" s="50">
        <v>0</v>
      </c>
      <c r="O193" s="50">
        <f>IF(L193&gt;0,N193*100/L193,0)</f>
        <v>0</v>
      </c>
      <c r="P193" s="50">
        <f>IF(M193&gt;0,N193*100/M193,0)</f>
        <v>0</v>
      </c>
    </row>
    <row r="194" spans="1:16" ht="18.75" x14ac:dyDescent="0.25">
      <c r="A194" s="136"/>
      <c r="B194" s="41"/>
      <c r="C194" s="41"/>
      <c r="D194" s="41"/>
      <c r="E194" s="254" t="s">
        <v>19</v>
      </c>
      <c r="F194" s="41"/>
      <c r="G194" s="43"/>
      <c r="H194" s="147" t="s">
        <v>12</v>
      </c>
      <c r="I194" s="144"/>
      <c r="J194" s="144"/>
      <c r="K194" s="145"/>
      <c r="L194" s="47">
        <f ca="1">IFERROR(__xludf.DUMMYFUNCTION("IMPORTRANGE(""https://docs.google.com/spreadsheets/d/1-uDff_7J0KD5mKrp0Vvzr7lt3OU09vwQwhkpOPPYv2Y/edit?usp=sharing"",""งบพรบ!CX26"")"),0)</f>
        <v>0</v>
      </c>
      <c r="M194" s="47">
        <f ca="1">IFERROR(__xludf.DUMMYFUNCTION("IMPORTRANGE(""https://docs.google.com/spreadsheets/d/1-uDff_7J0KD5mKrp0Vvzr7lt3OU09vwQwhkpOPPYv2Y/edit?usp=sharing"",""งบพรบ!DA26"")"),0)</f>
        <v>0</v>
      </c>
      <c r="N194" s="47">
        <f ca="1">IFERROR(__xludf.DUMMYFUNCTION("IMPORTRANGE(""https://docs.google.com/spreadsheets/d/1-uDff_7J0KD5mKrp0Vvzr7lt3OU09vwQwhkpOPPYv2Y/edit?usp=sharing"",""งบพรบ!DC26"")"),0)</f>
        <v>0</v>
      </c>
      <c r="O194" s="47">
        <f ca="1">IF(L194&gt;0,N194*100/L194,0)</f>
        <v>0</v>
      </c>
      <c r="P194" s="47">
        <f ca="1">IF(M194&gt;0,N194*100/M194,0)</f>
        <v>0</v>
      </c>
    </row>
    <row r="195" spans="1:16" ht="19.5" x14ac:dyDescent="0.3">
      <c r="A195" s="233"/>
      <c r="B195" s="234"/>
      <c r="C195" s="235" t="s">
        <v>72</v>
      </c>
      <c r="D195" s="236"/>
      <c r="E195" s="236"/>
      <c r="F195" s="236"/>
      <c r="G195" s="237"/>
      <c r="H195" s="238" t="s">
        <v>73</v>
      </c>
      <c r="I195" s="239">
        <f ca="1">I198</f>
        <v>4</v>
      </c>
      <c r="J195" s="239">
        <f>J198</f>
        <v>1</v>
      </c>
      <c r="K195" s="240">
        <f ca="1">IF(I195&gt;0,J195*100/I195,0)</f>
        <v>25</v>
      </c>
      <c r="L195" s="241"/>
      <c r="M195" s="241"/>
      <c r="N195" s="241"/>
      <c r="O195" s="241"/>
      <c r="P195" s="241"/>
    </row>
    <row r="196" spans="1:16" ht="19.5" x14ac:dyDescent="0.3">
      <c r="A196" s="136"/>
      <c r="B196" s="41"/>
      <c r="C196" s="197" t="s">
        <v>16</v>
      </c>
      <c r="D196" s="400" t="s">
        <v>17</v>
      </c>
      <c r="E196" s="41"/>
      <c r="F196" s="41"/>
      <c r="G196" s="43"/>
      <c r="H196" s="243" t="s">
        <v>12</v>
      </c>
      <c r="I196" s="45"/>
      <c r="J196" s="45"/>
      <c r="K196" s="46"/>
      <c r="L196" s="140">
        <f ca="1">IFERROR(__xludf.DUMMYFUNCTION("IMPORTRANGE(""https://docs.google.com/spreadsheets/d/1eHaY18a8A9IcSdp1K8H6x8fbOy06t2VsZHhMHf-1x7Y/edit?usp=sharing"",""แผน!AB26"")"),6000)</f>
        <v>6000</v>
      </c>
      <c r="M196" s="46"/>
      <c r="N196" s="244">
        <v>0</v>
      </c>
      <c r="O196" s="140">
        <f ca="1">IF(L196&gt;0,N196*100/L196,0)</f>
        <v>0</v>
      </c>
      <c r="P196" s="140">
        <f>IF(M196&gt;0,N196*100/M196,0)</f>
        <v>0</v>
      </c>
    </row>
    <row r="197" spans="1:16" ht="19.5" x14ac:dyDescent="0.3">
      <c r="A197" s="148"/>
      <c r="B197" s="149"/>
      <c r="C197" s="197" t="s">
        <v>16</v>
      </c>
      <c r="D197" s="395" t="s">
        <v>36</v>
      </c>
      <c r="E197" s="151"/>
      <c r="F197" s="151"/>
      <c r="G197" s="152"/>
      <c r="H197" s="153"/>
      <c r="I197" s="45"/>
      <c r="J197" s="45"/>
      <c r="K197" s="46"/>
      <c r="L197" s="46"/>
      <c r="M197" s="46"/>
      <c r="N197" s="46"/>
      <c r="O197" s="46"/>
      <c r="P197" s="46"/>
    </row>
    <row r="198" spans="1:16" ht="18.75" x14ac:dyDescent="0.25">
      <c r="A198" s="148"/>
      <c r="B198" s="149"/>
      <c r="C198" s="149"/>
      <c r="D198" s="159" t="s">
        <v>74</v>
      </c>
      <c r="E198" s="155"/>
      <c r="F198" s="155"/>
      <c r="G198" s="153"/>
      <c r="H198" s="251" t="s">
        <v>73</v>
      </c>
      <c r="I198" s="169">
        <f ca="1">IFERROR(__xludf.DUMMYFUNCTION("IMPORTRANGE(""https://docs.google.com/spreadsheets/d/1eHaY18a8A9IcSdp1K8H6x8fbOy06t2VsZHhMHf-1x7Y/edit?usp=sharing"",""แผน!AE26"")"),4)</f>
        <v>4</v>
      </c>
      <c r="J198" s="250">
        <v>1</v>
      </c>
      <c r="K198" s="47">
        <f ca="1">IF(I198&gt;0,J198*100/I198,0)</f>
        <v>25</v>
      </c>
      <c r="L198" s="46"/>
      <c r="M198" s="46"/>
      <c r="N198" s="46"/>
      <c r="O198" s="46"/>
      <c r="P198" s="46"/>
    </row>
    <row r="199" spans="1:16" ht="18.75" x14ac:dyDescent="0.25">
      <c r="A199" s="148"/>
      <c r="B199" s="149"/>
      <c r="C199" s="149"/>
      <c r="D199" s="159" t="s">
        <v>75</v>
      </c>
      <c r="E199" s="155"/>
      <c r="F199" s="155"/>
      <c r="G199" s="153"/>
      <c r="H199" s="230" t="s">
        <v>33</v>
      </c>
      <c r="I199" s="45"/>
      <c r="J199" s="169">
        <f>J200+J201</f>
        <v>29</v>
      </c>
      <c r="K199" s="46"/>
      <c r="L199" s="46"/>
      <c r="M199" s="46"/>
      <c r="N199" s="46"/>
      <c r="O199" s="46"/>
      <c r="P199" s="46"/>
    </row>
    <row r="200" spans="1:16" ht="18.75" x14ac:dyDescent="0.25">
      <c r="A200" s="148"/>
      <c r="B200" s="149"/>
      <c r="C200" s="149"/>
      <c r="D200" s="149"/>
      <c r="E200" s="159" t="s">
        <v>76</v>
      </c>
      <c r="F200" s="155"/>
      <c r="G200" s="153"/>
      <c r="H200" s="230" t="s">
        <v>33</v>
      </c>
      <c r="I200" s="45"/>
      <c r="J200" s="250">
        <v>29</v>
      </c>
      <c r="K200" s="46"/>
      <c r="L200" s="46"/>
      <c r="M200" s="46"/>
      <c r="N200" s="46"/>
      <c r="O200" s="46"/>
      <c r="P200" s="46"/>
    </row>
    <row r="201" spans="1:16" ht="18.75" x14ac:dyDescent="0.25">
      <c r="A201" s="148"/>
      <c r="B201" s="149"/>
      <c r="C201" s="149"/>
      <c r="D201" s="149"/>
      <c r="E201" s="159" t="s">
        <v>77</v>
      </c>
      <c r="F201" s="155"/>
      <c r="G201" s="153"/>
      <c r="H201" s="230" t="s">
        <v>33</v>
      </c>
      <c r="I201" s="45"/>
      <c r="J201" s="250">
        <v>0</v>
      </c>
      <c r="K201" s="46"/>
      <c r="L201" s="46"/>
      <c r="M201" s="46"/>
      <c r="N201" s="46"/>
      <c r="O201" s="46"/>
      <c r="P201" s="46"/>
    </row>
    <row r="202" spans="1:16" ht="19.5" x14ac:dyDescent="0.3">
      <c r="A202" s="233"/>
      <c r="B202" s="234"/>
      <c r="C202" s="235" t="s">
        <v>78</v>
      </c>
      <c r="D202" s="236"/>
      <c r="E202" s="236"/>
      <c r="F202" s="236"/>
      <c r="G202" s="237"/>
      <c r="H202" s="245" t="s">
        <v>79</v>
      </c>
      <c r="I202" s="239">
        <f ca="1">I209</f>
        <v>1</v>
      </c>
      <c r="J202" s="239">
        <f>J209</f>
        <v>0</v>
      </c>
      <c r="K202" s="240">
        <f ca="1">IF(I202&gt;0,J202*100/I202,0)</f>
        <v>0</v>
      </c>
      <c r="L202" s="241"/>
      <c r="M202" s="241"/>
      <c r="N202" s="241"/>
      <c r="O202" s="241"/>
      <c r="P202" s="241"/>
    </row>
    <row r="203" spans="1:16" ht="19.5" x14ac:dyDescent="0.3">
      <c r="A203" s="136"/>
      <c r="B203" s="41"/>
      <c r="C203" s="197" t="s">
        <v>16</v>
      </c>
      <c r="D203" s="400" t="s">
        <v>17</v>
      </c>
      <c r="E203" s="41"/>
      <c r="F203" s="41"/>
      <c r="G203" s="43"/>
      <c r="H203" s="243" t="s">
        <v>12</v>
      </c>
      <c r="I203" s="144"/>
      <c r="J203" s="144"/>
      <c r="K203" s="145"/>
      <c r="L203" s="140">
        <f ca="1">L204+L205+L206+L207</f>
        <v>16000</v>
      </c>
      <c r="M203" s="46"/>
      <c r="N203" s="140">
        <f>N204+N205+N206+N207</f>
        <v>0</v>
      </c>
      <c r="O203" s="140">
        <f ca="1">IF(L203&gt;0,N203*100/L203,0)</f>
        <v>0</v>
      </c>
      <c r="P203" s="140">
        <f>IF(M203&gt;0,N203*100/M203,0)</f>
        <v>0</v>
      </c>
    </row>
    <row r="204" spans="1:16" ht="18.75" x14ac:dyDescent="0.25">
      <c r="A204" s="136"/>
      <c r="B204" s="228"/>
      <c r="C204" s="41"/>
      <c r="D204" s="253" t="s">
        <v>153</v>
      </c>
      <c r="E204" s="41"/>
      <c r="F204" s="41"/>
      <c r="G204" s="43"/>
      <c r="H204" s="143" t="s">
        <v>12</v>
      </c>
      <c r="I204" s="144"/>
      <c r="J204" s="144"/>
      <c r="K204" s="145"/>
      <c r="L204" s="47">
        <f ca="1">IFERROR(__xludf.DUMMYFUNCTION("IMPORTRANGE(""https://docs.google.com/spreadsheets/d/1eHaY18a8A9IcSdp1K8H6x8fbOy06t2VsZHhMHf-1x7Y/edit?usp=sharing"",""แผน!AG26"")"),1000)</f>
        <v>1000</v>
      </c>
      <c r="M204" s="46"/>
      <c r="N204" s="248">
        <v>0</v>
      </c>
      <c r="O204" s="145"/>
      <c r="P204" s="46"/>
    </row>
    <row r="205" spans="1:16" ht="18.75" x14ac:dyDescent="0.25">
      <c r="A205" s="227"/>
      <c r="B205" s="228"/>
      <c r="C205" s="41"/>
      <c r="D205" s="254" t="s">
        <v>81</v>
      </c>
      <c r="E205" s="41"/>
      <c r="F205" s="41"/>
      <c r="G205" s="43"/>
      <c r="H205" s="44" t="s">
        <v>12</v>
      </c>
      <c r="I205" s="45"/>
      <c r="J205" s="45"/>
      <c r="K205" s="46"/>
      <c r="L205" s="47">
        <f ca="1">IFERROR(__xludf.DUMMYFUNCTION("IMPORTRANGE(""https://docs.google.com/spreadsheets/d/1eHaY18a8A9IcSdp1K8H6x8fbOy06t2VsZHhMHf-1x7Y/edit?usp=sharing"",""แผน!AH26"")"),0)</f>
        <v>0</v>
      </c>
      <c r="M205" s="46"/>
      <c r="N205" s="248">
        <v>0</v>
      </c>
      <c r="O205" s="145"/>
      <c r="P205" s="46"/>
    </row>
    <row r="206" spans="1:16" ht="18.75" x14ac:dyDescent="0.25">
      <c r="A206" s="227"/>
      <c r="B206" s="228"/>
      <c r="C206" s="41"/>
      <c r="D206" s="254" t="s">
        <v>82</v>
      </c>
      <c r="E206" s="41"/>
      <c r="F206" s="41"/>
      <c r="G206" s="43"/>
      <c r="H206" s="44" t="s">
        <v>12</v>
      </c>
      <c r="I206" s="45"/>
      <c r="J206" s="45"/>
      <c r="K206" s="46"/>
      <c r="L206" s="47">
        <f ca="1">IFERROR(__xludf.DUMMYFUNCTION("IMPORTRANGE(""https://docs.google.com/spreadsheets/d/1eHaY18a8A9IcSdp1K8H6x8fbOy06t2VsZHhMHf-1x7Y/edit?usp=sharing"",""แผน!AI26"")"),8000)</f>
        <v>8000</v>
      </c>
      <c r="M206" s="46"/>
      <c r="N206" s="248">
        <v>0</v>
      </c>
      <c r="O206" s="145"/>
      <c r="P206" s="46"/>
    </row>
    <row r="207" spans="1:16" ht="18.75" x14ac:dyDescent="0.25">
      <c r="A207" s="227"/>
      <c r="B207" s="228"/>
      <c r="C207" s="41"/>
      <c r="D207" s="254" t="s">
        <v>83</v>
      </c>
      <c r="E207" s="41"/>
      <c r="F207" s="41"/>
      <c r="G207" s="43"/>
      <c r="H207" s="44" t="s">
        <v>12</v>
      </c>
      <c r="I207" s="45"/>
      <c r="J207" s="45"/>
      <c r="K207" s="46"/>
      <c r="L207" s="47">
        <f ca="1">IFERROR(__xludf.DUMMYFUNCTION("IMPORTRANGE(""https://docs.google.com/spreadsheets/d/1eHaY18a8A9IcSdp1K8H6x8fbOy06t2VsZHhMHf-1x7Y/edit?usp=sharing"",""แผน!AJ26"")"),7000)</f>
        <v>7000</v>
      </c>
      <c r="M207" s="46"/>
      <c r="N207" s="248">
        <v>0</v>
      </c>
      <c r="O207" s="145"/>
      <c r="P207" s="46"/>
    </row>
    <row r="208" spans="1:16" ht="19.5" x14ac:dyDescent="0.3">
      <c r="A208" s="148"/>
      <c r="B208" s="149"/>
      <c r="C208" s="197" t="s">
        <v>16</v>
      </c>
      <c r="D208" s="395" t="s">
        <v>36</v>
      </c>
      <c r="E208" s="151"/>
      <c r="F208" s="151"/>
      <c r="G208" s="152"/>
      <c r="H208" s="153"/>
      <c r="I208" s="144"/>
      <c r="J208" s="144"/>
      <c r="K208" s="145"/>
      <c r="L208" s="145"/>
      <c r="M208" s="145"/>
      <c r="N208" s="145"/>
      <c r="O208" s="145"/>
      <c r="P208" s="145"/>
    </row>
    <row r="209" spans="1:16" ht="18.75" x14ac:dyDescent="0.25">
      <c r="A209" s="148"/>
      <c r="B209" s="149"/>
      <c r="C209" s="149"/>
      <c r="D209" s="154" t="s">
        <v>84</v>
      </c>
      <c r="E209" s="155"/>
      <c r="F209" s="155"/>
      <c r="G209" s="153"/>
      <c r="H209" s="249" t="s">
        <v>79</v>
      </c>
      <c r="I209" s="169">
        <f ca="1">IFERROR(__xludf.DUMMYFUNCTION("IMPORTRANGE(""https://docs.google.com/spreadsheets/d/1eHaY18a8A9IcSdp1K8H6x8fbOy06t2VsZHhMHf-1x7Y/edit?usp=sharing"",""แผน!AK26"")"),1)</f>
        <v>1</v>
      </c>
      <c r="J209" s="250">
        <v>0</v>
      </c>
      <c r="K209" s="163">
        <f ca="1">IF(I209&gt;0,J209*100/I209,0)</f>
        <v>0</v>
      </c>
      <c r="L209" s="46"/>
      <c r="M209" s="46"/>
      <c r="N209" s="46"/>
      <c r="O209" s="46"/>
      <c r="P209" s="46"/>
    </row>
    <row r="210" spans="1:16" ht="18.75" x14ac:dyDescent="0.25">
      <c r="A210" s="148"/>
      <c r="B210" s="149"/>
      <c r="C210" s="149"/>
      <c r="D210" s="159" t="s">
        <v>48</v>
      </c>
      <c r="E210" s="155"/>
      <c r="F210" s="155"/>
      <c r="G210" s="153"/>
      <c r="H210" s="153"/>
      <c r="I210" s="45"/>
      <c r="J210" s="45"/>
      <c r="K210" s="145"/>
      <c r="L210" s="46"/>
      <c r="M210" s="46"/>
      <c r="N210" s="46"/>
      <c r="O210" s="46"/>
      <c r="P210" s="46"/>
    </row>
    <row r="211" spans="1:16" ht="18.75" x14ac:dyDescent="0.25">
      <c r="A211" s="148"/>
      <c r="B211" s="149"/>
      <c r="C211" s="149"/>
      <c r="D211" s="155"/>
      <c r="E211" s="159" t="s">
        <v>85</v>
      </c>
      <c r="F211" s="155"/>
      <c r="G211" s="153"/>
      <c r="H211" s="249" t="s">
        <v>79</v>
      </c>
      <c r="I211" s="169">
        <f ca="1">IFERROR(__xludf.DUMMYFUNCTION("IMPORTRANGE(""https://docs.google.com/spreadsheets/d/1eHaY18a8A9IcSdp1K8H6x8fbOy06t2VsZHhMHf-1x7Y/edit?usp=sharing"",""แผน!AK26"")"),1)</f>
        <v>1</v>
      </c>
      <c r="J211" s="250">
        <v>0</v>
      </c>
      <c r="K211" s="163">
        <f ca="1">IF(I211&gt;0,J211*100/I211,0)</f>
        <v>0</v>
      </c>
      <c r="L211" s="46"/>
      <c r="M211" s="46"/>
      <c r="N211" s="46"/>
      <c r="O211" s="46"/>
      <c r="P211" s="46"/>
    </row>
    <row r="212" spans="1:16" ht="18.75" x14ac:dyDescent="0.25">
      <c r="A212" s="148"/>
      <c r="B212" s="149"/>
      <c r="C212" s="149"/>
      <c r="D212" s="155"/>
      <c r="E212" s="159" t="s">
        <v>86</v>
      </c>
      <c r="F212" s="155"/>
      <c r="G212" s="155"/>
      <c r="H212" s="251" t="s">
        <v>87</v>
      </c>
      <c r="I212" s="169">
        <f ca="1">IFERROR(__xludf.DUMMYFUNCTION("IMPORTRANGE(""https://docs.google.com/spreadsheets/d/1eHaY18a8A9IcSdp1K8H6x8fbOy06t2VsZHhMHf-1x7Y/edit?usp=sharing"",""แผน!AK26"")"),1)</f>
        <v>1</v>
      </c>
      <c r="J212" s="250">
        <v>0</v>
      </c>
      <c r="K212" s="163">
        <f ca="1">IF(I212&gt;0,J212*100/I212,0)</f>
        <v>0</v>
      </c>
      <c r="L212" s="46"/>
      <c r="M212" s="46"/>
      <c r="N212" s="46"/>
      <c r="O212" s="46"/>
      <c r="P212" s="46"/>
    </row>
    <row r="213" spans="1:16" ht="19.5" hidden="1" x14ac:dyDescent="0.3">
      <c r="A213" s="233"/>
      <c r="B213" s="234"/>
      <c r="C213" s="235" t="s">
        <v>88</v>
      </c>
      <c r="D213" s="236"/>
      <c r="E213" s="236"/>
      <c r="F213" s="236"/>
      <c r="G213" s="237"/>
      <c r="H213" s="245" t="s">
        <v>79</v>
      </c>
      <c r="I213" s="239">
        <f ca="1">I220</f>
        <v>0</v>
      </c>
      <c r="J213" s="239">
        <f>J220</f>
        <v>0</v>
      </c>
      <c r="K213" s="240">
        <f ca="1">IF(I213&gt;0,J213*100/I213,0)</f>
        <v>0</v>
      </c>
      <c r="L213" s="241"/>
      <c r="M213" s="241"/>
      <c r="N213" s="241"/>
      <c r="O213" s="241"/>
      <c r="P213" s="241"/>
    </row>
    <row r="214" spans="1:16" ht="19.5" hidden="1" x14ac:dyDescent="0.3">
      <c r="A214" s="136"/>
      <c r="B214" s="41"/>
      <c r="C214" s="197" t="s">
        <v>16</v>
      </c>
      <c r="D214" s="400" t="s">
        <v>17</v>
      </c>
      <c r="E214" s="41"/>
      <c r="F214" s="41"/>
      <c r="G214" s="43"/>
      <c r="H214" s="243" t="s">
        <v>12</v>
      </c>
      <c r="I214" s="144"/>
      <c r="J214" s="144"/>
      <c r="K214" s="145"/>
      <c r="L214" s="140">
        <f ca="1">L215+L216+L217</f>
        <v>0</v>
      </c>
      <c r="M214" s="46"/>
      <c r="N214" s="140">
        <f>N215+N216+N217</f>
        <v>0</v>
      </c>
      <c r="O214" s="140">
        <f ca="1">IF(L214&gt;0,N214*100/L214,0)</f>
        <v>0</v>
      </c>
      <c r="P214" s="140">
        <f>IF(M214&gt;0,N214*100/M214,0)</f>
        <v>0</v>
      </c>
    </row>
    <row r="215" spans="1:16" ht="18.75" hidden="1" x14ac:dyDescent="0.25">
      <c r="A215" s="136"/>
      <c r="B215" s="228"/>
      <c r="C215" s="41"/>
      <c r="D215" s="254" t="s">
        <v>80</v>
      </c>
      <c r="E215" s="41"/>
      <c r="F215" s="41"/>
      <c r="G215" s="43"/>
      <c r="H215" s="143" t="s">
        <v>12</v>
      </c>
      <c r="I215" s="144"/>
      <c r="J215" s="144"/>
      <c r="K215" s="145"/>
      <c r="L215" s="47">
        <f ca="1">IFERROR(__xludf.DUMMYFUNCTION("IMPORTRANGE(""https://docs.google.com/spreadsheets/d/1eHaY18a8A9IcSdp1K8H6x8fbOy06t2VsZHhMHf-1x7Y/edit?usp=sharing"",""แผน!AM26"")"),0)</f>
        <v>0</v>
      </c>
      <c r="M215" s="46"/>
      <c r="N215" s="248">
        <v>0</v>
      </c>
      <c r="O215" s="145"/>
      <c r="P215" s="46"/>
    </row>
    <row r="216" spans="1:16" ht="18.75" hidden="1" x14ac:dyDescent="0.25">
      <c r="A216" s="227"/>
      <c r="B216" s="228"/>
      <c r="C216" s="228"/>
      <c r="D216" s="254" t="s">
        <v>89</v>
      </c>
      <c r="E216" s="41"/>
      <c r="F216" s="41"/>
      <c r="G216" s="43"/>
      <c r="H216" s="143" t="s">
        <v>12</v>
      </c>
      <c r="I216" s="45"/>
      <c r="J216" s="45"/>
      <c r="K216" s="46"/>
      <c r="L216" s="47">
        <f ca="1">IFERROR(__xludf.DUMMYFUNCTION("IMPORTRANGE(""https://docs.google.com/spreadsheets/d/1eHaY18a8A9IcSdp1K8H6x8fbOy06t2VsZHhMHf-1x7Y/edit?usp=sharing"",""แผน!AN26"")"),0)</f>
        <v>0</v>
      </c>
      <c r="M216" s="46"/>
      <c r="N216" s="248">
        <v>0</v>
      </c>
      <c r="O216" s="145"/>
      <c r="P216" s="46"/>
    </row>
    <row r="217" spans="1:16" ht="18.75" hidden="1" x14ac:dyDescent="0.25">
      <c r="A217" s="227"/>
      <c r="B217" s="228"/>
      <c r="C217" s="228"/>
      <c r="D217" s="254" t="s">
        <v>82</v>
      </c>
      <c r="E217" s="41"/>
      <c r="F217" s="41"/>
      <c r="G217" s="43"/>
      <c r="H217" s="143" t="s">
        <v>12</v>
      </c>
      <c r="I217" s="45"/>
      <c r="J217" s="45"/>
      <c r="K217" s="46"/>
      <c r="L217" s="47">
        <f ca="1">IFERROR(__xludf.DUMMYFUNCTION("IMPORTRANGE(""https://docs.google.com/spreadsheets/d/1eHaY18a8A9IcSdp1K8H6x8fbOy06t2VsZHhMHf-1x7Y/edit?usp=sharing"",""แผน!AO26"")"),0)</f>
        <v>0</v>
      </c>
      <c r="M217" s="46"/>
      <c r="N217" s="248">
        <v>0</v>
      </c>
      <c r="O217" s="145"/>
      <c r="P217" s="46"/>
    </row>
    <row r="218" spans="1:16" ht="19.5" hidden="1" x14ac:dyDescent="0.3">
      <c r="A218" s="148"/>
      <c r="B218" s="149"/>
      <c r="C218" s="252" t="s">
        <v>16</v>
      </c>
      <c r="D218" s="395" t="s">
        <v>36</v>
      </c>
      <c r="E218" s="151"/>
      <c r="F218" s="151"/>
      <c r="G218" s="152"/>
      <c r="H218" s="153"/>
      <c r="I218" s="144"/>
      <c r="J218" s="45"/>
      <c r="K218" s="46"/>
      <c r="L218" s="46"/>
      <c r="M218" s="46"/>
      <c r="N218" s="46"/>
      <c r="O218" s="145"/>
      <c r="P218" s="145"/>
    </row>
    <row r="219" spans="1:16" ht="18.75" hidden="1" x14ac:dyDescent="0.25">
      <c r="A219" s="148"/>
      <c r="B219" s="149"/>
      <c r="C219" s="149"/>
      <c r="D219" s="154" t="s">
        <v>90</v>
      </c>
      <c r="E219" s="155"/>
      <c r="F219" s="155"/>
      <c r="G219" s="153"/>
      <c r="H219" s="249" t="s">
        <v>79</v>
      </c>
      <c r="I219" s="169">
        <f ca="1">IFERROR(__xludf.DUMMYFUNCTION("IMPORTRANGE(""https://docs.google.com/spreadsheets/d/1eHaY18a8A9IcSdp1K8H6x8fbOy06t2VsZHhMHf-1x7Y/edit?usp=sharing"",""แผน!AP26"")"),0)</f>
        <v>0</v>
      </c>
      <c r="J219" s="250">
        <v>0</v>
      </c>
      <c r="K219" s="47">
        <f ca="1">IF(I219&gt;0,J219*100/I219,0)</f>
        <v>0</v>
      </c>
      <c r="L219" s="46"/>
      <c r="M219" s="46"/>
      <c r="N219" s="46"/>
      <c r="O219" s="46"/>
      <c r="P219" s="46"/>
    </row>
    <row r="220" spans="1:16" ht="18.75" hidden="1" x14ac:dyDescent="0.25">
      <c r="A220" s="148"/>
      <c r="B220" s="149"/>
      <c r="C220" s="149"/>
      <c r="D220" s="154" t="s">
        <v>91</v>
      </c>
      <c r="E220" s="155"/>
      <c r="F220" s="155"/>
      <c r="G220" s="153"/>
      <c r="H220" s="249" t="s">
        <v>79</v>
      </c>
      <c r="I220" s="169">
        <f ca="1">IFERROR(__xludf.DUMMYFUNCTION("IMPORTRANGE(""https://docs.google.com/spreadsheets/d/1eHaY18a8A9IcSdp1K8H6x8fbOy06t2VsZHhMHf-1x7Y/edit?usp=sharing"",""แผน!AP26"")"),0)</f>
        <v>0</v>
      </c>
      <c r="J220" s="250">
        <v>0</v>
      </c>
      <c r="K220" s="47">
        <f ca="1">IF(I220&gt;0,J220*100/I220,0)</f>
        <v>0</v>
      </c>
      <c r="L220" s="46"/>
      <c r="M220" s="46"/>
      <c r="N220" s="46"/>
      <c r="O220" s="46"/>
      <c r="P220" s="46"/>
    </row>
    <row r="221" spans="1:16" ht="19.5" x14ac:dyDescent="0.3">
      <c r="A221" s="233"/>
      <c r="B221" s="234"/>
      <c r="C221" s="235" t="s">
        <v>92</v>
      </c>
      <c r="D221" s="236"/>
      <c r="E221" s="236"/>
      <c r="F221" s="236"/>
      <c r="G221" s="237"/>
      <c r="H221" s="238" t="s">
        <v>93</v>
      </c>
      <c r="I221" s="239">
        <f ca="1">I229</f>
        <v>50000</v>
      </c>
      <c r="J221" s="239">
        <f>J229</f>
        <v>0</v>
      </c>
      <c r="K221" s="240">
        <f ca="1">IF(I221&gt;0,J221*100/I221,0)</f>
        <v>0</v>
      </c>
      <c r="L221" s="241"/>
      <c r="M221" s="241"/>
      <c r="N221" s="241"/>
      <c r="O221" s="241"/>
      <c r="P221" s="241"/>
    </row>
    <row r="222" spans="1:16" ht="19.5" x14ac:dyDescent="0.3">
      <c r="A222" s="136"/>
      <c r="B222" s="41"/>
      <c r="C222" s="197" t="s">
        <v>16</v>
      </c>
      <c r="D222" s="400" t="s">
        <v>17</v>
      </c>
      <c r="E222" s="41"/>
      <c r="F222" s="41"/>
      <c r="G222" s="43"/>
      <c r="H222" s="243" t="s">
        <v>12</v>
      </c>
      <c r="I222" s="144"/>
      <c r="J222" s="144"/>
      <c r="K222" s="145"/>
      <c r="L222" s="140">
        <f ca="1">L223+L224+L225</f>
        <v>8500</v>
      </c>
      <c r="M222" s="46"/>
      <c r="N222" s="140">
        <f>N223+N224+N225</f>
        <v>0</v>
      </c>
      <c r="O222" s="140">
        <f ca="1">IF(L222&gt;0,N222*100/L222,0)</f>
        <v>0</v>
      </c>
      <c r="P222" s="140">
        <f>IF(M222&gt;0,N222*100/M222,0)</f>
        <v>0</v>
      </c>
    </row>
    <row r="223" spans="1:16" ht="18.75" x14ac:dyDescent="0.25">
      <c r="A223" s="136"/>
      <c r="B223" s="228"/>
      <c r="C223" s="41"/>
      <c r="D223" s="253" t="s">
        <v>94</v>
      </c>
      <c r="E223" s="41"/>
      <c r="F223" s="41"/>
      <c r="G223" s="43"/>
      <c r="H223" s="143" t="s">
        <v>12</v>
      </c>
      <c r="I223" s="144"/>
      <c r="J223" s="144"/>
      <c r="K223" s="145"/>
      <c r="L223" s="47">
        <f ca="1">IFERROR(__xludf.DUMMYFUNCTION("IMPORTRANGE(""https://docs.google.com/spreadsheets/d/1eHaY18a8A9IcSdp1K8H6x8fbOy06t2VsZHhMHf-1x7Y/edit?usp=sharing"",""แผน!AR26"")"),7000)</f>
        <v>7000</v>
      </c>
      <c r="M223" s="46"/>
      <c r="N223" s="248">
        <v>0</v>
      </c>
      <c r="O223" s="145"/>
      <c r="P223" s="46"/>
    </row>
    <row r="224" spans="1:16" ht="18.75" x14ac:dyDescent="0.25">
      <c r="A224" s="227"/>
      <c r="B224" s="228"/>
      <c r="C224" s="228"/>
      <c r="D224" s="254" t="s">
        <v>95</v>
      </c>
      <c r="E224" s="41"/>
      <c r="F224" s="41"/>
      <c r="G224" s="43"/>
      <c r="H224" s="143" t="s">
        <v>12</v>
      </c>
      <c r="I224" s="45"/>
      <c r="J224" s="45"/>
      <c r="K224" s="46"/>
      <c r="L224" s="47">
        <f ca="1">IFERROR(__xludf.DUMMYFUNCTION("IMPORTRANGE(""https://docs.google.com/spreadsheets/d/1eHaY18a8A9IcSdp1K8H6x8fbOy06t2VsZHhMHf-1x7Y/edit?usp=sharing"",""แผน!AS26"")"),1500)</f>
        <v>1500</v>
      </c>
      <c r="M224" s="46"/>
      <c r="N224" s="248">
        <v>0</v>
      </c>
      <c r="O224" s="145"/>
      <c r="P224" s="46"/>
    </row>
    <row r="225" spans="1:16" ht="18.75" x14ac:dyDescent="0.25">
      <c r="A225" s="227"/>
      <c r="B225" s="228"/>
      <c r="C225" s="228"/>
      <c r="D225" s="254" t="s">
        <v>82</v>
      </c>
      <c r="E225" s="41"/>
      <c r="F225" s="41"/>
      <c r="G225" s="43"/>
      <c r="H225" s="143" t="s">
        <v>12</v>
      </c>
      <c r="I225" s="45"/>
      <c r="J225" s="45"/>
      <c r="K225" s="46"/>
      <c r="L225" s="47">
        <f ca="1">IFERROR(__xludf.DUMMYFUNCTION("IMPORTRANGE(""https://docs.google.com/spreadsheets/d/1eHaY18a8A9IcSdp1K8H6x8fbOy06t2VsZHhMHf-1x7Y/edit?usp=sharing"",""แผน!AT26"")"),0)</f>
        <v>0</v>
      </c>
      <c r="M225" s="46"/>
      <c r="N225" s="248">
        <v>0</v>
      </c>
      <c r="O225" s="145"/>
      <c r="P225" s="46"/>
    </row>
    <row r="226" spans="1:16" ht="19.5" x14ac:dyDescent="0.3">
      <c r="A226" s="148"/>
      <c r="B226" s="149"/>
      <c r="C226" s="252" t="s">
        <v>16</v>
      </c>
      <c r="D226" s="395" t="s">
        <v>36</v>
      </c>
      <c r="E226" s="151"/>
      <c r="F226" s="151"/>
      <c r="G226" s="152"/>
      <c r="H226" s="153"/>
      <c r="I226" s="144"/>
      <c r="J226" s="144"/>
      <c r="K226" s="145"/>
      <c r="L226" s="145"/>
      <c r="M226" s="145"/>
      <c r="N226" s="145"/>
      <c r="O226" s="145"/>
      <c r="P226" s="145"/>
    </row>
    <row r="227" spans="1:16" ht="18.75" x14ac:dyDescent="0.25">
      <c r="A227" s="148"/>
      <c r="B227" s="149"/>
      <c r="C227" s="149"/>
      <c r="D227" s="254" t="s">
        <v>96</v>
      </c>
      <c r="E227" s="155"/>
      <c r="F227" s="155"/>
      <c r="G227" s="153"/>
      <c r="H227" s="153"/>
      <c r="I227" s="45"/>
      <c r="J227" s="45"/>
      <c r="K227" s="145"/>
      <c r="L227" s="145"/>
      <c r="M227" s="145"/>
      <c r="N227" s="145"/>
      <c r="O227" s="145"/>
      <c r="P227" s="145"/>
    </row>
    <row r="228" spans="1:16" ht="18.75" x14ac:dyDescent="0.25">
      <c r="A228" s="148"/>
      <c r="B228" s="149"/>
      <c r="C228" s="149"/>
      <c r="D228" s="149"/>
      <c r="E228" s="154" t="s">
        <v>97</v>
      </c>
      <c r="F228" s="155"/>
      <c r="G228" s="153"/>
      <c r="H228" s="251" t="s">
        <v>93</v>
      </c>
      <c r="I228" s="169">
        <f ca="1">IFERROR(__xludf.DUMMYFUNCTION("IMPORTRANGE(""https://docs.google.com/spreadsheets/d/1eHaY18a8A9IcSdp1K8H6x8fbOy06t2VsZHhMHf-1x7Y/edit?usp=sharing"",""แผน!AV26"")"),50000)</f>
        <v>50000</v>
      </c>
      <c r="J228" s="250">
        <v>0</v>
      </c>
      <c r="K228" s="163">
        <f ca="1">IF(I228&gt;0,J228*100/I228,0)</f>
        <v>0</v>
      </c>
      <c r="L228" s="145"/>
      <c r="M228" s="145"/>
      <c r="N228" s="145"/>
      <c r="O228" s="145"/>
      <c r="P228" s="145"/>
    </row>
    <row r="229" spans="1:16" ht="18.75" x14ac:dyDescent="0.25">
      <c r="A229" s="148"/>
      <c r="B229" s="149"/>
      <c r="C229" s="149"/>
      <c r="D229" s="149"/>
      <c r="E229" s="154" t="s">
        <v>98</v>
      </c>
      <c r="F229" s="155"/>
      <c r="G229" s="153"/>
      <c r="H229" s="251" t="s">
        <v>93</v>
      </c>
      <c r="I229" s="169">
        <f ca="1">IFERROR(__xludf.DUMMYFUNCTION("IMPORTRANGE(""https://docs.google.com/spreadsheets/d/1eHaY18a8A9IcSdp1K8H6x8fbOy06t2VsZHhMHf-1x7Y/edit?usp=sharing"",""แผน!AV26"")"),50000)</f>
        <v>50000</v>
      </c>
      <c r="J229" s="250">
        <v>0</v>
      </c>
      <c r="K229" s="163">
        <f ca="1">IF(I229&gt;0,J229*100/I229,0)</f>
        <v>0</v>
      </c>
      <c r="L229" s="46"/>
      <c r="M229" s="46"/>
      <c r="N229" s="46"/>
      <c r="O229" s="46"/>
      <c r="P229" s="46"/>
    </row>
    <row r="230" spans="1:16" ht="18.75" x14ac:dyDescent="0.25">
      <c r="A230" s="148"/>
      <c r="B230" s="149"/>
      <c r="C230" s="149"/>
      <c r="D230" s="254" t="s">
        <v>99</v>
      </c>
      <c r="E230" s="155"/>
      <c r="F230" s="155"/>
      <c r="G230" s="153"/>
      <c r="H230" s="251" t="s">
        <v>33</v>
      </c>
      <c r="I230" s="169">
        <f ca="1">IFERROR(__xludf.DUMMYFUNCTION("IMPORTRANGE(""https://docs.google.com/spreadsheets/d/1eHaY18a8A9IcSdp1K8H6x8fbOy06t2VsZHhMHf-1x7Y/edit?usp=sharing"",""แผน!AU26"")"),0)</f>
        <v>0</v>
      </c>
      <c r="J230" s="250">
        <v>0</v>
      </c>
      <c r="K230" s="163">
        <f ca="1">IF(I230&gt;0,J230*100/I230,0)</f>
        <v>0</v>
      </c>
      <c r="L230" s="46"/>
      <c r="M230" s="46"/>
      <c r="N230" s="46"/>
      <c r="O230" s="46"/>
      <c r="P230" s="46"/>
    </row>
    <row r="231" spans="1:16" ht="19.5" hidden="1" x14ac:dyDescent="0.3">
      <c r="A231" s="233"/>
      <c r="B231" s="234"/>
      <c r="C231" s="235" t="s">
        <v>100</v>
      </c>
      <c r="D231" s="236"/>
      <c r="E231" s="236"/>
      <c r="F231" s="236"/>
      <c r="G231" s="237"/>
      <c r="H231" s="238" t="s">
        <v>33</v>
      </c>
      <c r="I231" s="239">
        <f ca="1">I242+I253</f>
        <v>0</v>
      </c>
      <c r="J231" s="239">
        <f>J242+J253</f>
        <v>0</v>
      </c>
      <c r="K231" s="240">
        <f ca="1">IF(I231&gt;0,J231*100/I231,0)</f>
        <v>0</v>
      </c>
      <c r="L231" s="241"/>
      <c r="M231" s="241"/>
      <c r="N231" s="241"/>
      <c r="O231" s="241"/>
      <c r="P231" s="241"/>
    </row>
    <row r="232" spans="1:16" ht="19.5" hidden="1" x14ac:dyDescent="0.3">
      <c r="A232" s="136"/>
      <c r="B232" s="41"/>
      <c r="C232" s="197" t="s">
        <v>16</v>
      </c>
      <c r="D232" s="397" t="s">
        <v>17</v>
      </c>
      <c r="E232" s="41"/>
      <c r="F232" s="41"/>
      <c r="G232" s="43"/>
      <c r="H232" s="243" t="s">
        <v>12</v>
      </c>
      <c r="I232" s="144"/>
      <c r="J232" s="144"/>
      <c r="K232" s="145"/>
      <c r="L232" s="140">
        <f ca="1">L243+L254</f>
        <v>0</v>
      </c>
      <c r="M232" s="46"/>
      <c r="N232" s="140">
        <f>N243+N254</f>
        <v>0</v>
      </c>
      <c r="O232" s="46"/>
      <c r="P232" s="46"/>
    </row>
    <row r="233" spans="1:16" ht="18.75" hidden="1" x14ac:dyDescent="0.25">
      <c r="A233" s="136"/>
      <c r="B233" s="228"/>
      <c r="C233" s="41"/>
      <c r="D233" s="254" t="s">
        <v>80</v>
      </c>
      <c r="E233" s="41"/>
      <c r="F233" s="41"/>
      <c r="G233" s="43"/>
      <c r="H233" s="143" t="s">
        <v>12</v>
      </c>
      <c r="I233" s="144"/>
      <c r="J233" s="144"/>
      <c r="K233" s="145"/>
      <c r="L233" s="47">
        <f ca="1">L244+L255</f>
        <v>0</v>
      </c>
      <c r="M233" s="46"/>
      <c r="N233" s="47">
        <f>N244+N255</f>
        <v>0</v>
      </c>
      <c r="O233" s="46"/>
      <c r="P233" s="46"/>
    </row>
    <row r="234" spans="1:16" ht="18.75" hidden="1" x14ac:dyDescent="0.25">
      <c r="A234" s="227"/>
      <c r="B234" s="228"/>
      <c r="C234" s="228"/>
      <c r="D234" s="254" t="s">
        <v>82</v>
      </c>
      <c r="E234" s="41"/>
      <c r="F234" s="41"/>
      <c r="G234" s="43"/>
      <c r="H234" s="143" t="s">
        <v>12</v>
      </c>
      <c r="I234" s="45"/>
      <c r="J234" s="45"/>
      <c r="K234" s="46"/>
      <c r="L234" s="47">
        <f ca="1">L245+L256</f>
        <v>0</v>
      </c>
      <c r="M234" s="46"/>
      <c r="N234" s="47">
        <f>N245+N256</f>
        <v>0</v>
      </c>
      <c r="O234" s="46"/>
      <c r="P234" s="46"/>
    </row>
    <row r="235" spans="1:16" ht="18.75" hidden="1" x14ac:dyDescent="0.25">
      <c r="A235" s="227"/>
      <c r="B235" s="228"/>
      <c r="C235" s="228"/>
      <c r="D235" s="254" t="s">
        <v>101</v>
      </c>
      <c r="E235" s="41"/>
      <c r="F235" s="41"/>
      <c r="G235" s="43"/>
      <c r="H235" s="143" t="s">
        <v>12</v>
      </c>
      <c r="I235" s="45"/>
      <c r="J235" s="45"/>
      <c r="K235" s="46"/>
      <c r="L235" s="47">
        <f ca="1">L246+L257</f>
        <v>0</v>
      </c>
      <c r="M235" s="46"/>
      <c r="N235" s="47">
        <f>N246+N257</f>
        <v>0</v>
      </c>
      <c r="O235" s="46"/>
      <c r="P235" s="46"/>
    </row>
    <row r="236" spans="1:16" ht="18.75" hidden="1" x14ac:dyDescent="0.25">
      <c r="A236" s="227"/>
      <c r="B236" s="228"/>
      <c r="C236" s="228"/>
      <c r="D236" s="254" t="s">
        <v>102</v>
      </c>
      <c r="E236" s="41"/>
      <c r="F236" s="41"/>
      <c r="G236" s="43"/>
      <c r="H236" s="143" t="s">
        <v>12</v>
      </c>
      <c r="I236" s="45"/>
      <c r="J236" s="45"/>
      <c r="K236" s="46"/>
      <c r="L236" s="47">
        <f ca="1">L247+L258</f>
        <v>0</v>
      </c>
      <c r="M236" s="46"/>
      <c r="N236" s="47">
        <f>N247+N258</f>
        <v>0</v>
      </c>
      <c r="O236" s="46"/>
      <c r="P236" s="46"/>
    </row>
    <row r="237" spans="1:16" ht="19.5" hidden="1" x14ac:dyDescent="0.3">
      <c r="A237" s="148"/>
      <c r="B237" s="149"/>
      <c r="C237" s="252" t="s">
        <v>16</v>
      </c>
      <c r="D237" s="395" t="s">
        <v>36</v>
      </c>
      <c r="E237" s="151"/>
      <c r="F237" s="151"/>
      <c r="G237" s="152"/>
      <c r="H237" s="153"/>
      <c r="I237" s="144"/>
      <c r="J237" s="45"/>
      <c r="K237" s="46"/>
      <c r="L237" s="46"/>
      <c r="M237" s="46"/>
      <c r="N237" s="46"/>
      <c r="O237" s="145"/>
      <c r="P237" s="145"/>
    </row>
    <row r="238" spans="1:16" ht="18.75" hidden="1" x14ac:dyDescent="0.25">
      <c r="A238" s="148"/>
      <c r="B238" s="149"/>
      <c r="C238" s="149"/>
      <c r="D238" s="159" t="s">
        <v>103</v>
      </c>
      <c r="E238" s="155"/>
      <c r="F238" s="155"/>
      <c r="G238" s="153"/>
      <c r="H238" s="251" t="s">
        <v>33</v>
      </c>
      <c r="I238" s="169">
        <f ca="1">I249+I260</f>
        <v>0</v>
      </c>
      <c r="J238" s="169">
        <f>J249+J260</f>
        <v>0</v>
      </c>
      <c r="K238" s="47">
        <f ca="1">IF(I238&gt;0,J238*100/I238,0)</f>
        <v>0</v>
      </c>
      <c r="L238" s="46"/>
      <c r="M238" s="46"/>
      <c r="N238" s="46"/>
      <c r="O238" s="46"/>
      <c r="P238" s="46"/>
    </row>
    <row r="239" spans="1:16" ht="18.75" hidden="1" x14ac:dyDescent="0.25">
      <c r="A239" s="148"/>
      <c r="B239" s="149"/>
      <c r="C239" s="149"/>
      <c r="D239" s="255" t="s">
        <v>41</v>
      </c>
      <c r="E239" s="155"/>
      <c r="F239" s="155"/>
      <c r="G239" s="153"/>
      <c r="H239" s="153"/>
      <c r="I239" s="45"/>
      <c r="J239" s="45"/>
      <c r="K239" s="46"/>
      <c r="L239" s="46"/>
      <c r="M239" s="46"/>
      <c r="N239" s="46"/>
      <c r="O239" s="145"/>
      <c r="P239" s="145"/>
    </row>
    <row r="240" spans="1:16" ht="18.75" hidden="1" x14ac:dyDescent="0.25">
      <c r="A240" s="148"/>
      <c r="B240" s="149"/>
      <c r="C240" s="149"/>
      <c r="D240" s="149"/>
      <c r="E240" s="154" t="s">
        <v>104</v>
      </c>
      <c r="F240" s="155"/>
      <c r="G240" s="153"/>
      <c r="H240" s="251" t="s">
        <v>33</v>
      </c>
      <c r="I240" s="169">
        <f>I251+I262</f>
        <v>0</v>
      </c>
      <c r="J240" s="169">
        <f>J251+J262</f>
        <v>0</v>
      </c>
      <c r="K240" s="47">
        <f>IF(I240&gt;0,J240*100/I240,0)</f>
        <v>0</v>
      </c>
      <c r="L240" s="46"/>
      <c r="M240" s="46"/>
      <c r="N240" s="46"/>
      <c r="O240" s="46"/>
      <c r="P240" s="46"/>
    </row>
    <row r="241" spans="1:16" ht="18.75" hidden="1" x14ac:dyDescent="0.25">
      <c r="A241" s="148"/>
      <c r="B241" s="149"/>
      <c r="C241" s="149"/>
      <c r="D241" s="149"/>
      <c r="E241" s="154" t="s">
        <v>105</v>
      </c>
      <c r="F241" s="155"/>
      <c r="G241" s="153"/>
      <c r="H241" s="251" t="s">
        <v>54</v>
      </c>
      <c r="I241" s="169">
        <f>I252+I263</f>
        <v>0</v>
      </c>
      <c r="J241" s="169">
        <f>J252+J263</f>
        <v>0</v>
      </c>
      <c r="K241" s="47">
        <f>IF(I241&gt;0,J241*100/I241,0)</f>
        <v>0</v>
      </c>
      <c r="L241" s="46"/>
      <c r="M241" s="46"/>
      <c r="N241" s="46"/>
      <c r="O241" s="46"/>
      <c r="P241" s="46"/>
    </row>
    <row r="242" spans="1:16" ht="19.5" hidden="1" x14ac:dyDescent="0.3">
      <c r="A242" s="233"/>
      <c r="B242" s="234"/>
      <c r="C242" s="256" t="s">
        <v>106</v>
      </c>
      <c r="D242" s="236"/>
      <c r="E242" s="236"/>
      <c r="F242" s="236"/>
      <c r="G242" s="237"/>
      <c r="H242" s="257" t="s">
        <v>33</v>
      </c>
      <c r="I242" s="258">
        <f ca="1">I249</f>
        <v>0</v>
      </c>
      <c r="J242" s="258">
        <f>J249</f>
        <v>0</v>
      </c>
      <c r="K242" s="259">
        <f ca="1">IF(I242&gt;0,J242*100/I242,0)</f>
        <v>0</v>
      </c>
      <c r="L242" s="241"/>
      <c r="M242" s="241"/>
      <c r="N242" s="241"/>
      <c r="O242" s="241"/>
      <c r="P242" s="241"/>
    </row>
    <row r="243" spans="1:16" ht="19.5" hidden="1" x14ac:dyDescent="0.3">
      <c r="A243" s="136"/>
      <c r="B243" s="41"/>
      <c r="C243" s="260" t="s">
        <v>16</v>
      </c>
      <c r="D243" s="261" t="s">
        <v>17</v>
      </c>
      <c r="E243" s="41"/>
      <c r="F243" s="41"/>
      <c r="G243" s="43"/>
      <c r="H243" s="262" t="s">
        <v>12</v>
      </c>
      <c r="I243" s="144"/>
      <c r="J243" s="144"/>
      <c r="K243" s="145"/>
      <c r="L243" s="263">
        <f ca="1">L244+L245+L246+L247</f>
        <v>0</v>
      </c>
      <c r="M243" s="46"/>
      <c r="N243" s="263">
        <f>N244+N245+N246+N247</f>
        <v>0</v>
      </c>
      <c r="O243" s="263">
        <f ca="1">IF(L243&gt;0,N243*100/L243,0)</f>
        <v>0</v>
      </c>
      <c r="P243" s="263">
        <f>IF(M243&gt;0,N243*100/M243,0)</f>
        <v>0</v>
      </c>
    </row>
    <row r="244" spans="1:16" ht="18.75" hidden="1" x14ac:dyDescent="0.25">
      <c r="A244" s="136"/>
      <c r="B244" s="228"/>
      <c r="C244" s="41"/>
      <c r="D244" s="279" t="s">
        <v>80</v>
      </c>
      <c r="E244" s="41"/>
      <c r="F244" s="41"/>
      <c r="G244" s="43"/>
      <c r="H244" s="146" t="s">
        <v>12</v>
      </c>
      <c r="I244" s="144"/>
      <c r="J244" s="144"/>
      <c r="K244" s="145"/>
      <c r="L244" s="50">
        <f ca="1">IFERROR(__xludf.DUMMYFUNCTION("IMPORTRANGE(""https://docs.google.com/spreadsheets/d/1eHaY18a8A9IcSdp1K8H6x8fbOy06t2VsZHhMHf-1x7Y/edit?usp=sharing"",""แผน!AX26"")"),0)</f>
        <v>0</v>
      </c>
      <c r="M244" s="46"/>
      <c r="N244" s="264">
        <v>0</v>
      </c>
      <c r="O244" s="46"/>
      <c r="P244" s="46"/>
    </row>
    <row r="245" spans="1:16" ht="18.75" hidden="1" x14ac:dyDescent="0.25">
      <c r="A245" s="227"/>
      <c r="B245" s="228"/>
      <c r="C245" s="228"/>
      <c r="D245" s="279" t="s">
        <v>82</v>
      </c>
      <c r="E245" s="41"/>
      <c r="F245" s="41"/>
      <c r="G245" s="43"/>
      <c r="H245" s="146" t="s">
        <v>12</v>
      </c>
      <c r="I245" s="45"/>
      <c r="J245" s="45"/>
      <c r="K245" s="46"/>
      <c r="L245" s="50">
        <f ca="1">IFERROR(__xludf.DUMMYFUNCTION("IMPORTRANGE(""https://docs.google.com/spreadsheets/d/1eHaY18a8A9IcSdp1K8H6x8fbOy06t2VsZHhMHf-1x7Y/edit?usp=sharing"",""แผน!AY26"")"),0)</f>
        <v>0</v>
      </c>
      <c r="M245" s="46"/>
      <c r="N245" s="264">
        <v>0</v>
      </c>
      <c r="O245" s="46"/>
      <c r="P245" s="46"/>
    </row>
    <row r="246" spans="1:16" ht="18.75" hidden="1" x14ac:dyDescent="0.25">
      <c r="A246" s="227"/>
      <c r="B246" s="228"/>
      <c r="C246" s="228"/>
      <c r="D246" s="279" t="s">
        <v>101</v>
      </c>
      <c r="E246" s="41"/>
      <c r="F246" s="41"/>
      <c r="G246" s="43"/>
      <c r="H246" s="146" t="s">
        <v>12</v>
      </c>
      <c r="I246" s="45"/>
      <c r="J246" s="45"/>
      <c r="K246" s="46"/>
      <c r="L246" s="50">
        <f ca="1">IFERROR(__xludf.DUMMYFUNCTION("IMPORTRANGE(""https://docs.google.com/spreadsheets/d/1eHaY18a8A9IcSdp1K8H6x8fbOy06t2VsZHhMHf-1x7Y/edit?usp=sharing"",""แผน!AZ26"")"),0)</f>
        <v>0</v>
      </c>
      <c r="M246" s="46"/>
      <c r="N246" s="264">
        <v>0</v>
      </c>
      <c r="O246" s="46"/>
      <c r="P246" s="46"/>
    </row>
    <row r="247" spans="1:16" ht="18.75" hidden="1" x14ac:dyDescent="0.25">
      <c r="A247" s="227"/>
      <c r="B247" s="228"/>
      <c r="C247" s="228"/>
      <c r="D247" s="279" t="s">
        <v>102</v>
      </c>
      <c r="E247" s="41"/>
      <c r="F247" s="41"/>
      <c r="G247" s="43"/>
      <c r="H247" s="146" t="s">
        <v>12</v>
      </c>
      <c r="I247" s="45"/>
      <c r="J247" s="45"/>
      <c r="K247" s="46"/>
      <c r="L247" s="50">
        <f ca="1">IFERROR(__xludf.DUMMYFUNCTION("IMPORTRANGE(""https://docs.google.com/spreadsheets/d/1eHaY18a8A9IcSdp1K8H6x8fbOy06t2VsZHhMHf-1x7Y/edit?usp=sharing"",""แผน!BA26"")"),0)</f>
        <v>0</v>
      </c>
      <c r="M247" s="46"/>
      <c r="N247" s="264">
        <v>0</v>
      </c>
      <c r="O247" s="46"/>
      <c r="P247" s="46"/>
    </row>
    <row r="248" spans="1:16" ht="19.5" hidden="1" x14ac:dyDescent="0.3">
      <c r="A248" s="148"/>
      <c r="B248" s="149"/>
      <c r="C248" s="265" t="s">
        <v>16</v>
      </c>
      <c r="D248" s="394" t="s">
        <v>36</v>
      </c>
      <c r="E248" s="151"/>
      <c r="F248" s="151"/>
      <c r="G248" s="152"/>
      <c r="H248" s="153"/>
      <c r="I248" s="144"/>
      <c r="J248" s="45"/>
      <c r="K248" s="46"/>
      <c r="L248" s="46"/>
      <c r="M248" s="46"/>
      <c r="N248" s="46"/>
      <c r="O248" s="145"/>
      <c r="P248" s="145"/>
    </row>
    <row r="249" spans="1:16" ht="18.75" hidden="1" x14ac:dyDescent="0.25">
      <c r="A249" s="148"/>
      <c r="B249" s="149"/>
      <c r="C249" s="149"/>
      <c r="D249" s="267" t="s">
        <v>103</v>
      </c>
      <c r="E249" s="155"/>
      <c r="F249" s="155"/>
      <c r="G249" s="153"/>
      <c r="H249" s="268" t="s">
        <v>33</v>
      </c>
      <c r="I249" s="200">
        <f ca="1">IFERROR(__xludf.DUMMYFUNCTION("IMPORTRANGE(""https://docs.google.com/spreadsheets/d/1eHaY18a8A9IcSdp1K8H6x8fbOy06t2VsZHhMHf-1x7Y/edit?usp=sharing"",""แผน!BG26"")"),0)</f>
        <v>0</v>
      </c>
      <c r="J249" s="201">
        <v>0</v>
      </c>
      <c r="K249" s="50">
        <f ca="1">IF(I249&gt;0,J249*100/I249,0)</f>
        <v>0</v>
      </c>
      <c r="L249" s="46"/>
      <c r="M249" s="46"/>
      <c r="N249" s="46"/>
      <c r="O249" s="46"/>
      <c r="P249" s="46"/>
    </row>
    <row r="250" spans="1:16" ht="18.75" hidden="1" x14ac:dyDescent="0.25">
      <c r="A250" s="148"/>
      <c r="B250" s="149"/>
      <c r="C250" s="149"/>
      <c r="D250" s="269" t="s">
        <v>41</v>
      </c>
      <c r="E250" s="155"/>
      <c r="F250" s="155"/>
      <c r="G250" s="153"/>
      <c r="H250" s="153"/>
      <c r="I250" s="45"/>
      <c r="J250" s="45"/>
      <c r="K250" s="46"/>
      <c r="L250" s="46"/>
      <c r="M250" s="46"/>
      <c r="N250" s="46"/>
      <c r="O250" s="145"/>
      <c r="P250" s="145"/>
    </row>
    <row r="251" spans="1:16" ht="18.75" hidden="1" x14ac:dyDescent="0.25">
      <c r="A251" s="148"/>
      <c r="B251" s="149"/>
      <c r="C251" s="149"/>
      <c r="D251" s="149"/>
      <c r="E251" s="270" t="s">
        <v>104</v>
      </c>
      <c r="F251" s="155"/>
      <c r="G251" s="153"/>
      <c r="H251" s="268" t="s">
        <v>33</v>
      </c>
      <c r="I251" s="200">
        <v>0</v>
      </c>
      <c r="J251" s="201">
        <v>0</v>
      </c>
      <c r="K251" s="50">
        <f>IF(I251&gt;0,J251*100/I251,0)</f>
        <v>0</v>
      </c>
      <c r="L251" s="46"/>
      <c r="M251" s="46"/>
      <c r="N251" s="46"/>
      <c r="O251" s="46"/>
      <c r="P251" s="46"/>
    </row>
    <row r="252" spans="1:16" ht="18.75" hidden="1" x14ac:dyDescent="0.25">
      <c r="A252" s="148"/>
      <c r="B252" s="149"/>
      <c r="C252" s="149"/>
      <c r="D252" s="149"/>
      <c r="E252" s="270" t="s">
        <v>105</v>
      </c>
      <c r="F252" s="155"/>
      <c r="G252" s="153"/>
      <c r="H252" s="268" t="s">
        <v>54</v>
      </c>
      <c r="I252" s="200">
        <v>0</v>
      </c>
      <c r="J252" s="201">
        <v>0</v>
      </c>
      <c r="K252" s="50">
        <f>IF(I252&gt;0,J252*100/I252,0)</f>
        <v>0</v>
      </c>
      <c r="L252" s="46"/>
      <c r="M252" s="46"/>
      <c r="N252" s="46"/>
      <c r="O252" s="46"/>
      <c r="P252" s="46"/>
    </row>
    <row r="253" spans="1:16" ht="19.5" hidden="1" x14ac:dyDescent="0.3">
      <c r="A253" s="233"/>
      <c r="B253" s="234"/>
      <c r="C253" s="256" t="s">
        <v>107</v>
      </c>
      <c r="D253" s="236"/>
      <c r="E253" s="236"/>
      <c r="F253" s="236"/>
      <c r="G253" s="237"/>
      <c r="H253" s="257" t="s">
        <v>33</v>
      </c>
      <c r="I253" s="258">
        <f ca="1">I260</f>
        <v>0</v>
      </c>
      <c r="J253" s="258">
        <f>J260</f>
        <v>0</v>
      </c>
      <c r="K253" s="259">
        <f ca="1">IF(I253&gt;0,J253*100/I253,0)</f>
        <v>0</v>
      </c>
      <c r="L253" s="241"/>
      <c r="M253" s="241"/>
      <c r="N253" s="241"/>
      <c r="O253" s="241"/>
      <c r="P253" s="241"/>
    </row>
    <row r="254" spans="1:16" ht="19.5" hidden="1" x14ac:dyDescent="0.3">
      <c r="A254" s="136"/>
      <c r="B254" s="41"/>
      <c r="C254" s="260" t="s">
        <v>16</v>
      </c>
      <c r="D254" s="399" t="s">
        <v>17</v>
      </c>
      <c r="E254" s="41"/>
      <c r="F254" s="41"/>
      <c r="G254" s="43"/>
      <c r="H254" s="262" t="s">
        <v>12</v>
      </c>
      <c r="I254" s="144"/>
      <c r="J254" s="144"/>
      <c r="K254" s="145"/>
      <c r="L254" s="263">
        <f ca="1">L255+L256+L257+L258</f>
        <v>0</v>
      </c>
      <c r="M254" s="46"/>
      <c r="N254" s="263">
        <f>N255+N256+N257+N258</f>
        <v>0</v>
      </c>
      <c r="O254" s="263">
        <f ca="1">IF(L254&gt;0,N254*100/L254,0)</f>
        <v>0</v>
      </c>
      <c r="P254" s="263">
        <f>IF(M254&gt;0,N254*100/M254,0)</f>
        <v>0</v>
      </c>
    </row>
    <row r="255" spans="1:16" ht="18.75" hidden="1" x14ac:dyDescent="0.25">
      <c r="A255" s="136"/>
      <c r="B255" s="228"/>
      <c r="C255" s="41"/>
      <c r="D255" s="279" t="s">
        <v>80</v>
      </c>
      <c r="E255" s="41"/>
      <c r="F255" s="41"/>
      <c r="G255" s="43"/>
      <c r="H255" s="146" t="s">
        <v>12</v>
      </c>
      <c r="I255" s="144"/>
      <c r="J255" s="144"/>
      <c r="K255" s="145"/>
      <c r="L255" s="50">
        <f ca="1">IFERROR(__xludf.DUMMYFUNCTION("IMPORTRANGE(""https://docs.google.com/spreadsheets/d/1eHaY18a8A9IcSdp1K8H6x8fbOy06t2VsZHhMHf-1x7Y/edit?usp=sharing"",""แผน!BB26"")"),0)</f>
        <v>0</v>
      </c>
      <c r="M255" s="46"/>
      <c r="N255" s="264">
        <v>0</v>
      </c>
      <c r="O255" s="46"/>
      <c r="P255" s="46"/>
    </row>
    <row r="256" spans="1:16" ht="18.75" hidden="1" x14ac:dyDescent="0.25">
      <c r="A256" s="227"/>
      <c r="B256" s="228"/>
      <c r="C256" s="228"/>
      <c r="D256" s="279" t="s">
        <v>82</v>
      </c>
      <c r="E256" s="41"/>
      <c r="F256" s="41"/>
      <c r="G256" s="43"/>
      <c r="H256" s="146" t="s">
        <v>12</v>
      </c>
      <c r="I256" s="45"/>
      <c r="J256" s="45"/>
      <c r="K256" s="46"/>
      <c r="L256" s="50">
        <f ca="1">IFERROR(__xludf.DUMMYFUNCTION("IMPORTRANGE(""https://docs.google.com/spreadsheets/d/1eHaY18a8A9IcSdp1K8H6x8fbOy06t2VsZHhMHf-1x7Y/edit?usp=sharing"",""แผน!BC26"")"),0)</f>
        <v>0</v>
      </c>
      <c r="M256" s="46"/>
      <c r="N256" s="264">
        <v>0</v>
      </c>
      <c r="O256" s="46"/>
      <c r="P256" s="46"/>
    </row>
    <row r="257" spans="1:16" ht="18.75" hidden="1" x14ac:dyDescent="0.25">
      <c r="A257" s="227"/>
      <c r="B257" s="228"/>
      <c r="C257" s="228"/>
      <c r="D257" s="279" t="s">
        <v>101</v>
      </c>
      <c r="E257" s="41"/>
      <c r="F257" s="41"/>
      <c r="G257" s="43"/>
      <c r="H257" s="146" t="s">
        <v>12</v>
      </c>
      <c r="I257" s="45"/>
      <c r="J257" s="45"/>
      <c r="K257" s="46"/>
      <c r="L257" s="50">
        <f ca="1">IFERROR(__xludf.DUMMYFUNCTION("IMPORTRANGE(""https://docs.google.com/spreadsheets/d/1eHaY18a8A9IcSdp1K8H6x8fbOy06t2VsZHhMHf-1x7Y/edit?usp=sharing"",""แผน!BD26"")"),0)</f>
        <v>0</v>
      </c>
      <c r="M257" s="46"/>
      <c r="N257" s="264">
        <v>0</v>
      </c>
      <c r="O257" s="46"/>
      <c r="P257" s="46"/>
    </row>
    <row r="258" spans="1:16" ht="18.75" hidden="1" x14ac:dyDescent="0.25">
      <c r="A258" s="227"/>
      <c r="B258" s="228"/>
      <c r="C258" s="228"/>
      <c r="D258" s="279" t="s">
        <v>102</v>
      </c>
      <c r="E258" s="41"/>
      <c r="F258" s="41"/>
      <c r="G258" s="43"/>
      <c r="H258" s="146" t="s">
        <v>12</v>
      </c>
      <c r="I258" s="45"/>
      <c r="J258" s="45"/>
      <c r="K258" s="46"/>
      <c r="L258" s="50">
        <f ca="1">IFERROR(__xludf.DUMMYFUNCTION("IMPORTRANGE(""https://docs.google.com/spreadsheets/d/1eHaY18a8A9IcSdp1K8H6x8fbOy06t2VsZHhMHf-1x7Y/edit?usp=sharing"",""แผน!BE26"")"),0)</f>
        <v>0</v>
      </c>
      <c r="M258" s="46"/>
      <c r="N258" s="264">
        <v>0</v>
      </c>
      <c r="O258" s="46"/>
      <c r="P258" s="46"/>
    </row>
    <row r="259" spans="1:16" ht="19.5" hidden="1" x14ac:dyDescent="0.3">
      <c r="A259" s="148"/>
      <c r="B259" s="149"/>
      <c r="C259" s="265" t="s">
        <v>16</v>
      </c>
      <c r="D259" s="394" t="s">
        <v>36</v>
      </c>
      <c r="E259" s="151"/>
      <c r="F259" s="151"/>
      <c r="G259" s="152"/>
      <c r="H259" s="153"/>
      <c r="I259" s="144"/>
      <c r="J259" s="45"/>
      <c r="K259" s="46"/>
      <c r="L259" s="46"/>
      <c r="M259" s="46"/>
      <c r="N259" s="46"/>
      <c r="O259" s="145"/>
      <c r="P259" s="145"/>
    </row>
    <row r="260" spans="1:16" ht="18.75" hidden="1" x14ac:dyDescent="0.25">
      <c r="A260" s="148"/>
      <c r="B260" s="149"/>
      <c r="C260" s="149"/>
      <c r="D260" s="267" t="s">
        <v>103</v>
      </c>
      <c r="E260" s="155"/>
      <c r="F260" s="155"/>
      <c r="G260" s="153"/>
      <c r="H260" s="268" t="s">
        <v>33</v>
      </c>
      <c r="I260" s="200">
        <f ca="1">IFERROR(__xludf.DUMMYFUNCTION("IMPORTRANGE(""https://docs.google.com/spreadsheets/d/1eHaY18a8A9IcSdp1K8H6x8fbOy06t2VsZHhMHf-1x7Y/edit?usp=sharing"",""แผน!BH26"")"),0)</f>
        <v>0</v>
      </c>
      <c r="J260" s="201">
        <v>0</v>
      </c>
      <c r="K260" s="50">
        <f ca="1">IF(I260&gt;0,J260*100/I260,0)</f>
        <v>0</v>
      </c>
      <c r="L260" s="46"/>
      <c r="M260" s="46"/>
      <c r="N260" s="46"/>
      <c r="O260" s="46"/>
      <c r="P260" s="46"/>
    </row>
    <row r="261" spans="1:16" ht="18.75" hidden="1" x14ac:dyDescent="0.25">
      <c r="A261" s="148"/>
      <c r="B261" s="149"/>
      <c r="C261" s="149"/>
      <c r="D261" s="269" t="s">
        <v>41</v>
      </c>
      <c r="E261" s="155"/>
      <c r="F261" s="155"/>
      <c r="G261" s="153"/>
      <c r="H261" s="153"/>
      <c r="I261" s="45"/>
      <c r="J261" s="45"/>
      <c r="K261" s="46"/>
      <c r="L261" s="46"/>
      <c r="M261" s="46"/>
      <c r="N261" s="46"/>
      <c r="O261" s="145"/>
      <c r="P261" s="145"/>
    </row>
    <row r="262" spans="1:16" ht="18.75" hidden="1" x14ac:dyDescent="0.25">
      <c r="A262" s="148"/>
      <c r="B262" s="149"/>
      <c r="C262" s="149"/>
      <c r="D262" s="149"/>
      <c r="E262" s="270" t="s">
        <v>104</v>
      </c>
      <c r="F262" s="155"/>
      <c r="G262" s="153"/>
      <c r="H262" s="268" t="s">
        <v>33</v>
      </c>
      <c r="I262" s="45"/>
      <c r="J262" s="201">
        <v>0</v>
      </c>
      <c r="K262" s="50">
        <f>IF(I262&gt;0,J262*100/I262,0)</f>
        <v>0</v>
      </c>
      <c r="L262" s="46"/>
      <c r="M262" s="46"/>
      <c r="N262" s="46"/>
      <c r="O262" s="46"/>
      <c r="P262" s="46"/>
    </row>
    <row r="263" spans="1:16" ht="18.75" hidden="1" x14ac:dyDescent="0.25">
      <c r="A263" s="148"/>
      <c r="B263" s="149"/>
      <c r="C263" s="149"/>
      <c r="D263" s="149"/>
      <c r="E263" s="270" t="s">
        <v>105</v>
      </c>
      <c r="F263" s="155"/>
      <c r="G263" s="153"/>
      <c r="H263" s="268" t="s">
        <v>54</v>
      </c>
      <c r="I263" s="45"/>
      <c r="J263" s="201">
        <v>0</v>
      </c>
      <c r="K263" s="50">
        <f>IF(I263&gt;0,J263*100/I263,0)</f>
        <v>0</v>
      </c>
      <c r="L263" s="46"/>
      <c r="M263" s="46"/>
      <c r="N263" s="46"/>
      <c r="O263" s="46"/>
      <c r="P263" s="46"/>
    </row>
    <row r="264" spans="1:16" ht="19.5" hidden="1" x14ac:dyDescent="0.3">
      <c r="A264" s="272" t="s">
        <v>108</v>
      </c>
      <c r="B264" s="215"/>
      <c r="C264" s="215"/>
      <c r="D264" s="216"/>
      <c r="E264" s="216"/>
      <c r="F264" s="216"/>
      <c r="G264" s="217"/>
      <c r="H264" s="217"/>
      <c r="I264" s="218"/>
      <c r="J264" s="218"/>
      <c r="K264" s="219"/>
      <c r="L264" s="219"/>
      <c r="M264" s="219"/>
      <c r="N264" s="219"/>
      <c r="O264" s="219"/>
      <c r="P264" s="219"/>
    </row>
    <row r="265" spans="1:16" ht="19.5" hidden="1" x14ac:dyDescent="0.3">
      <c r="A265" s="220"/>
      <c r="B265" s="273" t="s">
        <v>109</v>
      </c>
      <c r="C265" s="222"/>
      <c r="D265" s="151"/>
      <c r="E265" s="151"/>
      <c r="F265" s="151"/>
      <c r="G265" s="152"/>
      <c r="H265" s="274" t="s">
        <v>33</v>
      </c>
      <c r="I265" s="275">
        <f>I276</f>
        <v>0</v>
      </c>
      <c r="J265" s="275">
        <f>J276</f>
        <v>0</v>
      </c>
      <c r="K265" s="276">
        <f>IF(I265&gt;0,J265*100/I265,0)</f>
        <v>0</v>
      </c>
      <c r="L265" s="226"/>
      <c r="M265" s="226"/>
      <c r="N265" s="226"/>
      <c r="O265" s="226"/>
      <c r="P265" s="226"/>
    </row>
    <row r="266" spans="1:16" ht="19.5" hidden="1" x14ac:dyDescent="0.3">
      <c r="A266" s="136"/>
      <c r="B266" s="41"/>
      <c r="C266" s="260" t="s">
        <v>16</v>
      </c>
      <c r="D266" s="261" t="s">
        <v>17</v>
      </c>
      <c r="E266" s="41"/>
      <c r="F266" s="41"/>
      <c r="G266" s="43"/>
      <c r="H266" s="277" t="s">
        <v>12</v>
      </c>
      <c r="I266" s="45"/>
      <c r="J266" s="45"/>
      <c r="K266" s="46"/>
      <c r="L266" s="263">
        <f ca="1">L267+L268</f>
        <v>0</v>
      </c>
      <c r="M266" s="263">
        <f ca="1">M267+M268</f>
        <v>0</v>
      </c>
      <c r="N266" s="263">
        <f ca="1">N267+N268</f>
        <v>0</v>
      </c>
      <c r="O266" s="263">
        <f ca="1">IF(L266&gt;0,N266*100/L266,0)</f>
        <v>0</v>
      </c>
      <c r="P266" s="263">
        <f ca="1">IF(M266&gt;0,N266*100/M266,0)</f>
        <v>0</v>
      </c>
    </row>
    <row r="267" spans="1:16" ht="18.75" hidden="1" x14ac:dyDescent="0.25">
      <c r="A267" s="136"/>
      <c r="B267" s="41"/>
      <c r="C267" s="41"/>
      <c r="D267" s="41"/>
      <c r="E267" s="279" t="s">
        <v>18</v>
      </c>
      <c r="F267" s="41"/>
      <c r="G267" s="43"/>
      <c r="H267" s="141" t="s">
        <v>12</v>
      </c>
      <c r="I267" s="45"/>
      <c r="J267" s="45"/>
      <c r="K267" s="46"/>
      <c r="L267" s="50">
        <f>L270+L273</f>
        <v>0</v>
      </c>
      <c r="M267" s="50">
        <f>M270+M273</f>
        <v>0</v>
      </c>
      <c r="N267" s="50">
        <f>N270+N273</f>
        <v>0</v>
      </c>
      <c r="O267" s="50">
        <f>IF(L267&gt;0,N267*100/L267,0)</f>
        <v>0</v>
      </c>
      <c r="P267" s="50">
        <f>IF(M267&gt;0,N267*100/M267,0)</f>
        <v>0</v>
      </c>
    </row>
    <row r="268" spans="1:16" ht="18.75" hidden="1" x14ac:dyDescent="0.25">
      <c r="A268" s="136"/>
      <c r="B268" s="41"/>
      <c r="C268" s="41"/>
      <c r="D268" s="41"/>
      <c r="E268" s="279" t="s">
        <v>19</v>
      </c>
      <c r="F268" s="41"/>
      <c r="G268" s="43"/>
      <c r="H268" s="141" t="s">
        <v>12</v>
      </c>
      <c r="I268" s="45"/>
      <c r="J268" s="45"/>
      <c r="K268" s="46"/>
      <c r="L268" s="50">
        <f ca="1">L271+L274</f>
        <v>0</v>
      </c>
      <c r="M268" s="50">
        <f ca="1">M271+M274</f>
        <v>0</v>
      </c>
      <c r="N268" s="50">
        <f ca="1">N271+N274</f>
        <v>0</v>
      </c>
      <c r="O268" s="50">
        <f ca="1">IF(L268&gt;0,N268*100/L268,0)</f>
        <v>0</v>
      </c>
      <c r="P268" s="50">
        <f ca="1">IF(M268&gt;0,N268*100/M268,0)</f>
        <v>0</v>
      </c>
    </row>
    <row r="269" spans="1:16" ht="18.75" hidden="1" x14ac:dyDescent="0.25">
      <c r="A269" s="136"/>
      <c r="B269" s="41"/>
      <c r="C269" s="41"/>
      <c r="D269" s="278" t="s">
        <v>20</v>
      </c>
      <c r="E269" s="41"/>
      <c r="F269" s="41"/>
      <c r="G269" s="43"/>
      <c r="H269" s="146" t="s">
        <v>12</v>
      </c>
      <c r="I269" s="144"/>
      <c r="J269" s="144"/>
      <c r="K269" s="145"/>
      <c r="L269" s="50">
        <f ca="1">L270+L271</f>
        <v>0</v>
      </c>
      <c r="M269" s="50">
        <f ca="1">M270+M271</f>
        <v>0</v>
      </c>
      <c r="N269" s="50">
        <f ca="1">N270+N271</f>
        <v>0</v>
      </c>
      <c r="O269" s="50">
        <f ca="1">IF(L269&gt;0,N269*100/L269,0)</f>
        <v>0</v>
      </c>
      <c r="P269" s="50">
        <f ca="1">IF(M269&gt;0,N269*100/M269,0)</f>
        <v>0</v>
      </c>
    </row>
    <row r="270" spans="1:16" ht="18.75" hidden="1" x14ac:dyDescent="0.25">
      <c r="A270" s="136"/>
      <c r="B270" s="41"/>
      <c r="C270" s="41"/>
      <c r="D270" s="41"/>
      <c r="E270" s="279" t="s">
        <v>34</v>
      </c>
      <c r="F270" s="41"/>
      <c r="G270" s="43"/>
      <c r="H270" s="146" t="s">
        <v>12</v>
      </c>
      <c r="I270" s="144"/>
      <c r="J270" s="144"/>
      <c r="K270" s="145"/>
      <c r="L270" s="50">
        <v>0</v>
      </c>
      <c r="M270" s="50">
        <v>0</v>
      </c>
      <c r="N270" s="50">
        <v>0</v>
      </c>
      <c r="O270" s="50">
        <f>IF(L270&gt;0,N270*100/L270,0)</f>
        <v>0</v>
      </c>
      <c r="P270" s="50">
        <f>IF(M270&gt;0,N270*100/M270,0)</f>
        <v>0</v>
      </c>
    </row>
    <row r="271" spans="1:16" ht="18.75" hidden="1" x14ac:dyDescent="0.25">
      <c r="A271" s="136"/>
      <c r="B271" s="41"/>
      <c r="C271" s="41"/>
      <c r="D271" s="41"/>
      <c r="E271" s="279" t="s">
        <v>35</v>
      </c>
      <c r="F271" s="41"/>
      <c r="G271" s="43"/>
      <c r="H271" s="146" t="s">
        <v>12</v>
      </c>
      <c r="I271" s="144"/>
      <c r="J271" s="144"/>
      <c r="K271" s="145"/>
      <c r="L271" s="50">
        <f ca="1">IFERROR(__xludf.DUMMYFUNCTION("IMPORTRANGE(""https://docs.google.com/spreadsheets/d/1-uDff_7J0KD5mKrp0Vvzr7lt3OU09vwQwhkpOPPYv2Y/edit?usp=sharing"",""งบพรบ!DE26"")"),0)</f>
        <v>0</v>
      </c>
      <c r="M271" s="50">
        <f ca="1">IFERROR(__xludf.DUMMYFUNCTION("IMPORTRANGE(""https://docs.google.com/spreadsheets/d/1-uDff_7J0KD5mKrp0Vvzr7lt3OU09vwQwhkpOPPYv2Y/edit?usp=sharing"",""งบพรบ!DJ26"")"),0)</f>
        <v>0</v>
      </c>
      <c r="N271" s="50">
        <f ca="1">IFERROR(__xludf.DUMMYFUNCTION("IMPORTRANGE(""https://docs.google.com/spreadsheets/d/1-uDff_7J0KD5mKrp0Vvzr7lt3OU09vwQwhkpOPPYv2Y/edit?usp=sharing"",""งบพรบ!DL26"")"),0)</f>
        <v>0</v>
      </c>
      <c r="O271" s="50">
        <f ca="1">IF(L271&gt;0,N271*100/L271,0)</f>
        <v>0</v>
      </c>
      <c r="P271" s="50">
        <f ca="1">IF(M271&gt;0,N271*100/M271,0)</f>
        <v>0</v>
      </c>
    </row>
    <row r="272" spans="1:16" ht="18.75" hidden="1" x14ac:dyDescent="0.25">
      <c r="A272" s="136"/>
      <c r="B272" s="41"/>
      <c r="C272" s="41"/>
      <c r="D272" s="278" t="s">
        <v>21</v>
      </c>
      <c r="E272" s="41"/>
      <c r="F272" s="41"/>
      <c r="G272" s="43"/>
      <c r="H272" s="199" t="s">
        <v>12</v>
      </c>
      <c r="I272" s="144"/>
      <c r="J272" s="144"/>
      <c r="K272" s="145"/>
      <c r="L272" s="50">
        <f ca="1">L273+L274</f>
        <v>0</v>
      </c>
      <c r="M272" s="50">
        <f ca="1">M273+M274</f>
        <v>0</v>
      </c>
      <c r="N272" s="50">
        <f ca="1">N273+N274</f>
        <v>0</v>
      </c>
      <c r="O272" s="50">
        <f ca="1">IF(L272&gt;0,N272*100/L272,0)</f>
        <v>0</v>
      </c>
      <c r="P272" s="50">
        <f ca="1">IF(M272&gt;0,N272*100/M272,0)</f>
        <v>0</v>
      </c>
    </row>
    <row r="273" spans="1:16" ht="18.75" hidden="1" x14ac:dyDescent="0.25">
      <c r="A273" s="136"/>
      <c r="B273" s="41"/>
      <c r="C273" s="41"/>
      <c r="D273" s="41"/>
      <c r="E273" s="279" t="s">
        <v>18</v>
      </c>
      <c r="F273" s="41"/>
      <c r="G273" s="43"/>
      <c r="H273" s="146" t="s">
        <v>12</v>
      </c>
      <c r="I273" s="144"/>
      <c r="J273" s="144"/>
      <c r="K273" s="145"/>
      <c r="L273" s="50">
        <v>0</v>
      </c>
      <c r="M273" s="50">
        <v>0</v>
      </c>
      <c r="N273" s="50">
        <v>0</v>
      </c>
      <c r="O273" s="50">
        <f>IF(L273&gt;0,N273*100/L273,0)</f>
        <v>0</v>
      </c>
      <c r="P273" s="50">
        <f>IF(M273&gt;0,N273*100/M273,0)</f>
        <v>0</v>
      </c>
    </row>
    <row r="274" spans="1:16" ht="18.75" hidden="1" x14ac:dyDescent="0.25">
      <c r="A274" s="136"/>
      <c r="B274" s="41"/>
      <c r="C274" s="41"/>
      <c r="D274" s="41"/>
      <c r="E274" s="279" t="s">
        <v>19</v>
      </c>
      <c r="F274" s="41"/>
      <c r="G274" s="43"/>
      <c r="H274" s="199" t="s">
        <v>12</v>
      </c>
      <c r="I274" s="144"/>
      <c r="J274" s="144"/>
      <c r="K274" s="145"/>
      <c r="L274" s="50">
        <f ca="1">IFERROR(__xludf.DUMMYFUNCTION("IMPORTRANGE(""https://docs.google.com/spreadsheets/d/1-uDff_7J0KD5mKrp0Vvzr7lt3OU09vwQwhkpOPPYv2Y/edit?usp=sharing"",""งบพรบ!DH26"")"),0)</f>
        <v>0</v>
      </c>
      <c r="M274" s="50">
        <f ca="1">IFERROR(__xludf.DUMMYFUNCTION("IMPORTRANGE(""https://docs.google.com/spreadsheets/d/1-uDff_7J0KD5mKrp0Vvzr7lt3OU09vwQwhkpOPPYv2Y/edit?usp=sharing"",""งบพรบ!DK26"")"),0)</f>
        <v>0</v>
      </c>
      <c r="N274" s="50">
        <f ca="1">IFERROR(__xludf.DUMMYFUNCTION("IMPORTRANGE(""https://docs.google.com/spreadsheets/d/1-uDff_7J0KD5mKrp0Vvzr7lt3OU09vwQwhkpOPPYv2Y/edit?usp=sharing"",""งบพรบ!DM26"")"),0)</f>
        <v>0</v>
      </c>
      <c r="O274" s="50">
        <f ca="1">IF(L274&gt;0,N274*100/L274,0)</f>
        <v>0</v>
      </c>
      <c r="P274" s="50">
        <f ca="1">IF(M274&gt;0,N274*100/M274,0)</f>
        <v>0</v>
      </c>
    </row>
    <row r="275" spans="1:16" ht="19.5" hidden="1" x14ac:dyDescent="0.3">
      <c r="A275" s="148"/>
      <c r="B275" s="149"/>
      <c r="C275" s="279" t="s">
        <v>16</v>
      </c>
      <c r="D275" s="394" t="s">
        <v>36</v>
      </c>
      <c r="E275" s="151"/>
      <c r="F275" s="151"/>
      <c r="G275" s="152"/>
      <c r="H275" s="153"/>
      <c r="I275" s="144"/>
      <c r="J275" s="144"/>
      <c r="K275" s="145"/>
      <c r="L275" s="145"/>
      <c r="M275" s="145"/>
      <c r="N275" s="145"/>
      <c r="O275" s="145"/>
      <c r="P275" s="145"/>
    </row>
    <row r="276" spans="1:16" ht="12.75" hidden="1" x14ac:dyDescent="0.2">
      <c r="A276" s="165"/>
      <c r="B276" s="166"/>
      <c r="C276" s="166"/>
      <c r="D276" s="16"/>
      <c r="E276" s="16"/>
      <c r="F276" s="16"/>
      <c r="G276" s="17"/>
      <c r="H276" s="17"/>
      <c r="I276" s="18"/>
      <c r="J276" s="18"/>
      <c r="K276" s="19"/>
      <c r="L276" s="19"/>
      <c r="M276" s="19"/>
      <c r="N276" s="19"/>
      <c r="O276" s="19"/>
      <c r="P276" s="19"/>
    </row>
    <row r="277" spans="1:16" ht="18.75" hidden="1" x14ac:dyDescent="0.25">
      <c r="A277" s="280"/>
      <c r="B277" s="281"/>
      <c r="C277" s="281"/>
      <c r="D277" s="282" t="s">
        <v>110</v>
      </c>
      <c r="E277" s="283"/>
      <c r="F277" s="283"/>
      <c r="G277" s="284"/>
      <c r="H277" s="285" t="s">
        <v>33</v>
      </c>
      <c r="I277" s="205">
        <v>0</v>
      </c>
      <c r="J277" s="205">
        <v>0</v>
      </c>
      <c r="K277" s="286">
        <v>0</v>
      </c>
      <c r="L277" s="287"/>
      <c r="M277" s="287"/>
      <c r="N277" s="287"/>
      <c r="O277" s="287"/>
      <c r="P277" s="287"/>
    </row>
    <row r="278" spans="1:16" ht="19.5" x14ac:dyDescent="0.3">
      <c r="A278" s="288" t="s">
        <v>111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</row>
    <row r="279" spans="1:16" ht="19.5" x14ac:dyDescent="0.3">
      <c r="A279" s="294" t="s">
        <v>112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299"/>
      <c r="M279" s="299"/>
      <c r="N279" s="299"/>
      <c r="O279" s="299"/>
      <c r="P279" s="299"/>
    </row>
    <row r="280" spans="1:16" ht="19.5" x14ac:dyDescent="0.3">
      <c r="A280" s="300"/>
      <c r="B280" s="301" t="s">
        <v>113</v>
      </c>
      <c r="C280" s="302"/>
      <c r="D280" s="303"/>
      <c r="E280" s="302"/>
      <c r="F280" s="302"/>
      <c r="G280" s="304"/>
      <c r="H280" s="305" t="s">
        <v>33</v>
      </c>
      <c r="I280" s="306">
        <f ca="1">I293</f>
        <v>30</v>
      </c>
      <c r="J280" s="306">
        <f>J293</f>
        <v>30</v>
      </c>
      <c r="K280" s="307">
        <f ca="1">IF(I280&gt;0,J280*100/I280,0)</f>
        <v>100</v>
      </c>
      <c r="L280" s="308"/>
      <c r="M280" s="308"/>
      <c r="N280" s="308"/>
      <c r="O280" s="308"/>
      <c r="P280" s="308"/>
    </row>
    <row r="281" spans="1:16" ht="19.5" x14ac:dyDescent="0.3">
      <c r="A281" s="300"/>
      <c r="B281" s="302"/>
      <c r="C281" s="302"/>
      <c r="D281" s="303"/>
      <c r="E281" s="302"/>
      <c r="F281" s="302"/>
      <c r="G281" s="304"/>
      <c r="H281" s="305" t="s">
        <v>44</v>
      </c>
      <c r="I281" s="306">
        <f ca="1">I292</f>
        <v>300</v>
      </c>
      <c r="J281" s="306">
        <f>J292</f>
        <v>300</v>
      </c>
      <c r="K281" s="307">
        <f ca="1">IF(I281&gt;0,J281*100/I281,0)</f>
        <v>100</v>
      </c>
      <c r="L281" s="308"/>
      <c r="M281" s="308"/>
      <c r="N281" s="308"/>
      <c r="O281" s="308"/>
      <c r="P281" s="308"/>
    </row>
    <row r="282" spans="1:16" ht="19.5" x14ac:dyDescent="0.3">
      <c r="A282" s="136"/>
      <c r="B282" s="41"/>
      <c r="C282" s="197" t="s">
        <v>16</v>
      </c>
      <c r="D282" s="397" t="s">
        <v>17</v>
      </c>
      <c r="E282" s="41"/>
      <c r="F282" s="41"/>
      <c r="G282" s="43"/>
      <c r="H282" s="139" t="s">
        <v>12</v>
      </c>
      <c r="I282" s="45"/>
      <c r="J282" s="45"/>
      <c r="K282" s="46"/>
      <c r="L282" s="140">
        <f ca="1">L283+L284</f>
        <v>85120</v>
      </c>
      <c r="M282" s="140">
        <f ca="1">M283+M284</f>
        <v>73480</v>
      </c>
      <c r="N282" s="140">
        <f ca="1">N283+N284</f>
        <v>24950</v>
      </c>
      <c r="O282" s="140">
        <f ca="1">IF(L282&gt;0,N282*100/L282,0)</f>
        <v>29.311560150375939</v>
      </c>
      <c r="P282" s="140">
        <f ca="1">IF(M282&gt;0,N282*100/M282,0)</f>
        <v>33.954817637452365</v>
      </c>
    </row>
    <row r="283" spans="1:16" ht="18.75" hidden="1" x14ac:dyDescent="0.25">
      <c r="A283" s="136"/>
      <c r="B283" s="41"/>
      <c r="C283" s="41"/>
      <c r="D283" s="41"/>
      <c r="E283" s="279" t="s">
        <v>18</v>
      </c>
      <c r="F283" s="41"/>
      <c r="G283" s="43"/>
      <c r="H283" s="141" t="s">
        <v>12</v>
      </c>
      <c r="I283" s="45"/>
      <c r="J283" s="45"/>
      <c r="K283" s="46"/>
      <c r="L283" s="50">
        <f>L286+L289</f>
        <v>0</v>
      </c>
      <c r="M283" s="50">
        <f>M286+M289</f>
        <v>0</v>
      </c>
      <c r="N283" s="50">
        <f>N286+N289</f>
        <v>0</v>
      </c>
      <c r="O283" s="50">
        <f>IF(L283&gt;0,N283*100/L283,0)</f>
        <v>0</v>
      </c>
      <c r="P283" s="50">
        <f>IF(M283&gt;0,N283*100/M283,0)</f>
        <v>0</v>
      </c>
    </row>
    <row r="284" spans="1:16" ht="18.75" x14ac:dyDescent="0.25">
      <c r="A284" s="136"/>
      <c r="B284" s="41"/>
      <c r="C284" s="41"/>
      <c r="D284" s="41"/>
      <c r="E284" s="254" t="s">
        <v>19</v>
      </c>
      <c r="F284" s="41"/>
      <c r="G284" s="43"/>
      <c r="H284" s="142" t="s">
        <v>12</v>
      </c>
      <c r="I284" s="45"/>
      <c r="J284" s="45"/>
      <c r="K284" s="46"/>
      <c r="L284" s="47">
        <f ca="1">L287+L290</f>
        <v>85120</v>
      </c>
      <c r="M284" s="47">
        <f ca="1">M287+M290</f>
        <v>73480</v>
      </c>
      <c r="N284" s="47">
        <f ca="1">N287+N290</f>
        <v>24950</v>
      </c>
      <c r="O284" s="47">
        <f ca="1">IF(L284&gt;0,N284*100/L284,0)</f>
        <v>29.311560150375939</v>
      </c>
      <c r="P284" s="47">
        <f ca="1">IF(M284&gt;0,N284*100/M284,0)</f>
        <v>33.954817637452365</v>
      </c>
    </row>
    <row r="285" spans="1:16" ht="18.75" x14ac:dyDescent="0.25">
      <c r="A285" s="136"/>
      <c r="B285" s="41"/>
      <c r="C285" s="41"/>
      <c r="D285" s="42" t="s">
        <v>20</v>
      </c>
      <c r="E285" s="41"/>
      <c r="F285" s="41"/>
      <c r="G285" s="43"/>
      <c r="H285" s="143" t="s">
        <v>12</v>
      </c>
      <c r="I285" s="144"/>
      <c r="J285" s="144"/>
      <c r="K285" s="145"/>
      <c r="L285" s="47">
        <f ca="1">L286+L287</f>
        <v>85120</v>
      </c>
      <c r="M285" s="47">
        <f ca="1">M286+M287</f>
        <v>73480</v>
      </c>
      <c r="N285" s="47">
        <f ca="1">N286+N287</f>
        <v>24950</v>
      </c>
      <c r="O285" s="47">
        <f ca="1">IF(L285&gt;0,N285*100/L285,0)</f>
        <v>29.311560150375939</v>
      </c>
      <c r="P285" s="47">
        <f ca="1">IF(M285&gt;0,N285*100/M285,0)</f>
        <v>33.954817637452365</v>
      </c>
    </row>
    <row r="286" spans="1:16" ht="18.75" hidden="1" x14ac:dyDescent="0.25">
      <c r="A286" s="136"/>
      <c r="B286" s="41"/>
      <c r="C286" s="41"/>
      <c r="D286" s="41"/>
      <c r="E286" s="279" t="s">
        <v>34</v>
      </c>
      <c r="F286" s="41"/>
      <c r="G286" s="43"/>
      <c r="H286" s="146" t="s">
        <v>12</v>
      </c>
      <c r="I286" s="144"/>
      <c r="J286" s="144"/>
      <c r="K286" s="145"/>
      <c r="L286" s="50">
        <v>0</v>
      </c>
      <c r="M286" s="50">
        <v>0</v>
      </c>
      <c r="N286" s="50">
        <v>0</v>
      </c>
      <c r="O286" s="50">
        <f>IF(L286&gt;0,N286*100/L286,0)</f>
        <v>0</v>
      </c>
      <c r="P286" s="50">
        <f>IF(M286&gt;0,N286*100/M286,0)</f>
        <v>0</v>
      </c>
    </row>
    <row r="287" spans="1:16" ht="18.75" x14ac:dyDescent="0.25">
      <c r="A287" s="136"/>
      <c r="B287" s="41"/>
      <c r="C287" s="41"/>
      <c r="D287" s="41"/>
      <c r="E287" s="254" t="s">
        <v>35</v>
      </c>
      <c r="F287" s="41"/>
      <c r="G287" s="43"/>
      <c r="H287" s="143" t="s">
        <v>12</v>
      </c>
      <c r="I287" s="144"/>
      <c r="J287" s="144"/>
      <c r="K287" s="145"/>
      <c r="L287" s="47">
        <f ca="1">IFERROR(__xludf.DUMMYFUNCTION("IMPORTRANGE(""https://docs.google.com/spreadsheets/d/1-uDff_7J0KD5mKrp0Vvzr7lt3OU09vwQwhkpOPPYv2Y/edit?usp=sharing"",""งบพรบ!DO26"")"),85120)</f>
        <v>85120</v>
      </c>
      <c r="M287" s="47">
        <f ca="1">IFERROR(__xludf.DUMMYFUNCTION("IMPORTRANGE(""https://docs.google.com/spreadsheets/d/1-uDff_7J0KD5mKrp0Vvzr7lt3OU09vwQwhkpOPPYv2Y/edit?usp=sharing"",""งบพรบ!DT26"")"),73480)</f>
        <v>73480</v>
      </c>
      <c r="N287" s="47">
        <f ca="1">IFERROR(__xludf.DUMMYFUNCTION("IMPORTRANGE(""https://docs.google.com/spreadsheets/d/1-uDff_7J0KD5mKrp0Vvzr7lt3OU09vwQwhkpOPPYv2Y/edit?usp=sharing"",""งบพรบ!DV26"")"),24950)</f>
        <v>24950</v>
      </c>
      <c r="O287" s="47">
        <f ca="1">IF(L287&gt;0,N287*100/L287,0)</f>
        <v>29.311560150375939</v>
      </c>
      <c r="P287" s="47">
        <f ca="1">IF(M287&gt;0,N287*100/M287,0)</f>
        <v>33.954817637452365</v>
      </c>
    </row>
    <row r="288" spans="1:16" ht="18.75" x14ac:dyDescent="0.25">
      <c r="A288" s="136"/>
      <c r="B288" s="41"/>
      <c r="C288" s="41"/>
      <c r="D288" s="42" t="s">
        <v>21</v>
      </c>
      <c r="E288" s="41"/>
      <c r="F288" s="41"/>
      <c r="G288" s="43"/>
      <c r="H288" s="147" t="s">
        <v>12</v>
      </c>
      <c r="I288" s="144"/>
      <c r="J288" s="144"/>
      <c r="K288" s="145"/>
      <c r="L288" s="47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</row>
    <row r="289" spans="1:16" ht="18.75" hidden="1" x14ac:dyDescent="0.25">
      <c r="A289" s="136"/>
      <c r="B289" s="41"/>
      <c r="C289" s="41"/>
      <c r="D289" s="41"/>
      <c r="E289" s="279" t="s">
        <v>18</v>
      </c>
      <c r="F289" s="41"/>
      <c r="G289" s="43"/>
      <c r="H289" s="146" t="s">
        <v>12</v>
      </c>
      <c r="I289" s="144"/>
      <c r="J289" s="144"/>
      <c r="K289" s="145"/>
      <c r="L289" s="50">
        <v>0</v>
      </c>
      <c r="M289" s="50">
        <v>0</v>
      </c>
      <c r="N289" s="50">
        <v>0</v>
      </c>
      <c r="O289" s="50">
        <f>IF(L289&gt;0,N289*100/L289,0)</f>
        <v>0</v>
      </c>
      <c r="P289" s="50">
        <f>IF(M289&gt;0,N289*100/M289,0)</f>
        <v>0</v>
      </c>
    </row>
    <row r="290" spans="1:16" ht="18.75" x14ac:dyDescent="0.25">
      <c r="A290" s="136"/>
      <c r="B290" s="41"/>
      <c r="C290" s="41"/>
      <c r="D290" s="41"/>
      <c r="E290" s="254" t="s">
        <v>19</v>
      </c>
      <c r="F290" s="41"/>
      <c r="G290" s="43"/>
      <c r="H290" s="147" t="s">
        <v>12</v>
      </c>
      <c r="I290" s="144"/>
      <c r="J290" s="144"/>
      <c r="K290" s="145"/>
      <c r="L290" s="47">
        <f ca="1">IFERROR(__xludf.DUMMYFUNCTION("IMPORTRANGE(""https://docs.google.com/spreadsheets/d/1-uDff_7J0KD5mKrp0Vvzr7lt3OU09vwQwhkpOPPYv2Y/edit?usp=sharing"",""งบพรบ!DR26"")"),0)</f>
        <v>0</v>
      </c>
      <c r="M290" s="47">
        <f ca="1">IFERROR(__xludf.DUMMYFUNCTION("IMPORTRANGE(""https://docs.google.com/spreadsheets/d/1-uDff_7J0KD5mKrp0Vvzr7lt3OU09vwQwhkpOPPYv2Y/edit?usp=sharing"",""งบพรบ!DU26"")"),0)</f>
        <v>0</v>
      </c>
      <c r="N290" s="47">
        <f ca="1">IFERROR(__xludf.DUMMYFUNCTION("IMPORTRANGE(""https://docs.google.com/spreadsheets/d/1-uDff_7J0KD5mKrp0Vvzr7lt3OU09vwQwhkpOPPYv2Y/edit?usp=sharing"",""งบพรบ!DW26"")"),0)</f>
        <v>0</v>
      </c>
      <c r="O290" s="47">
        <f ca="1">IF(L290&gt;0,N290*100/L290,0)</f>
        <v>0</v>
      </c>
      <c r="P290" s="47">
        <f ca="1">IF(M290&gt;0,N290*100/M290,0)</f>
        <v>0</v>
      </c>
    </row>
    <row r="291" spans="1:16" ht="19.5" x14ac:dyDescent="0.3">
      <c r="A291" s="148"/>
      <c r="B291" s="149"/>
      <c r="C291" s="197" t="s">
        <v>16</v>
      </c>
      <c r="D291" s="395" t="s">
        <v>36</v>
      </c>
      <c r="E291" s="151"/>
      <c r="F291" s="151"/>
      <c r="G291" s="152"/>
      <c r="H291" s="153"/>
      <c r="I291" s="144"/>
      <c r="J291" s="144"/>
      <c r="K291" s="145"/>
      <c r="L291" s="145"/>
      <c r="M291" s="145"/>
      <c r="N291" s="145"/>
      <c r="O291" s="145"/>
      <c r="P291" s="145"/>
    </row>
    <row r="292" spans="1:16" ht="18.75" x14ac:dyDescent="0.25">
      <c r="A292" s="148"/>
      <c r="B292" s="149"/>
      <c r="C292" s="149"/>
      <c r="D292" s="159" t="s">
        <v>114</v>
      </c>
      <c r="E292" s="149"/>
      <c r="F292" s="155"/>
      <c r="G292" s="153"/>
      <c r="H292" s="164" t="s">
        <v>44</v>
      </c>
      <c r="I292" s="169">
        <f ca="1">IFERROR(__xludf.DUMMYFUNCTION("IMPORTRANGE(""https://docs.google.com/spreadsheets/d/1eHaY18a8A9IcSdp1K8H6x8fbOy06t2VsZHhMHf-1x7Y/edit?usp=sharing"",""แผน!EE26"")"),300)</f>
        <v>300</v>
      </c>
      <c r="J292" s="250">
        <v>300</v>
      </c>
      <c r="K292" s="163">
        <f ca="1">IF(I292&gt;0,J292*100/I292,0)</f>
        <v>100</v>
      </c>
      <c r="L292" s="145"/>
      <c r="M292" s="145"/>
      <c r="N292" s="145"/>
      <c r="O292" s="145"/>
      <c r="P292" s="145"/>
    </row>
    <row r="293" spans="1:16" ht="19.5" x14ac:dyDescent="0.3">
      <c r="A293" s="148"/>
      <c r="B293" s="149"/>
      <c r="C293" s="149"/>
      <c r="D293" s="159" t="s">
        <v>115</v>
      </c>
      <c r="E293" s="149"/>
      <c r="F293" s="155"/>
      <c r="G293" s="153"/>
      <c r="H293" s="156" t="s">
        <v>33</v>
      </c>
      <c r="I293" s="157">
        <f ca="1">IFERROR(__xludf.DUMMYFUNCTION("IMPORTRANGE(""https://docs.google.com/spreadsheets/d/1eHaY18a8A9IcSdp1K8H6x8fbOy06t2VsZHhMHf-1x7Y/edit?usp=sharing"",""แผน!ED26"")"),30)</f>
        <v>30</v>
      </c>
      <c r="J293" s="157">
        <f>J296</f>
        <v>30</v>
      </c>
      <c r="K293" s="158">
        <f ca="1">IF(I293&gt;0,J293*100/I293,0)</f>
        <v>100</v>
      </c>
      <c r="L293" s="145"/>
      <c r="M293" s="145"/>
      <c r="N293" s="145"/>
      <c r="O293" s="145"/>
      <c r="P293" s="145"/>
    </row>
    <row r="294" spans="1:16" ht="19.5" x14ac:dyDescent="0.3">
      <c r="A294" s="148"/>
      <c r="B294" s="149"/>
      <c r="C294" s="149"/>
      <c r="D294" s="155"/>
      <c r="E294" s="167" t="s">
        <v>116</v>
      </c>
      <c r="F294" s="155"/>
      <c r="G294" s="153"/>
      <c r="H294" s="153"/>
      <c r="I294" s="144"/>
      <c r="J294" s="45"/>
      <c r="K294" s="145"/>
      <c r="L294" s="145"/>
      <c r="M294" s="145"/>
      <c r="N294" s="145"/>
      <c r="O294" s="145"/>
      <c r="P294" s="145"/>
    </row>
    <row r="295" spans="1:16" ht="19.5" x14ac:dyDescent="0.3">
      <c r="A295" s="148"/>
      <c r="B295" s="149"/>
      <c r="C295" s="149"/>
      <c r="D295" s="155"/>
      <c r="E295" s="159" t="s">
        <v>117</v>
      </c>
      <c r="F295" s="155"/>
      <c r="G295" s="153"/>
      <c r="H295" s="251" t="s">
        <v>33</v>
      </c>
      <c r="I295" s="161">
        <f ca="1">IFERROR(__xludf.DUMMYFUNCTION("IMPORTRANGE(""https://docs.google.com/spreadsheets/d/1eHaY18a8A9IcSdp1K8H6x8fbOy06t2VsZHhMHf-1x7Y/edit?usp=sharing"",""แผน!ED26"")"),30)</f>
        <v>30</v>
      </c>
      <c r="J295" s="250">
        <v>30</v>
      </c>
      <c r="K295" s="163">
        <f ca="1">IF(I295&gt;0,J295*100/I295,0)</f>
        <v>100</v>
      </c>
      <c r="L295" s="145"/>
      <c r="M295" s="145"/>
      <c r="N295" s="145"/>
      <c r="O295" s="145"/>
      <c r="P295" s="145"/>
    </row>
    <row r="296" spans="1:16" ht="19.5" x14ac:dyDescent="0.3">
      <c r="A296" s="148"/>
      <c r="B296" s="149"/>
      <c r="C296" s="149"/>
      <c r="D296" s="155"/>
      <c r="E296" s="159" t="s">
        <v>118</v>
      </c>
      <c r="F296" s="155"/>
      <c r="G296" s="153"/>
      <c r="H296" s="251" t="s">
        <v>33</v>
      </c>
      <c r="I296" s="161">
        <f ca="1">IFERROR(__xludf.DUMMYFUNCTION("IMPORTRANGE(""https://docs.google.com/spreadsheets/d/1eHaY18a8A9IcSdp1K8H6x8fbOy06t2VsZHhMHf-1x7Y/edit?usp=sharing"",""แผน!ED26"")"),30)</f>
        <v>30</v>
      </c>
      <c r="J296" s="250">
        <v>30</v>
      </c>
      <c r="K296" s="163">
        <f ca="1">IF(I296&gt;0,J296*100/I296,0)</f>
        <v>100</v>
      </c>
      <c r="L296" s="145"/>
      <c r="M296" s="145"/>
      <c r="N296" s="145"/>
      <c r="O296" s="145"/>
      <c r="P296" s="145"/>
    </row>
    <row r="297" spans="1:16" ht="12.75" hidden="1" x14ac:dyDescent="0.2">
      <c r="A297" s="165"/>
      <c r="B297" s="166"/>
      <c r="C297" s="166"/>
      <c r="D297" s="16"/>
      <c r="E297" s="16"/>
      <c r="F297" s="16"/>
      <c r="G297" s="17"/>
      <c r="H297" s="17"/>
      <c r="I297" s="18"/>
      <c r="J297" s="18"/>
      <c r="K297" s="19"/>
      <c r="L297" s="19"/>
      <c r="M297" s="19"/>
      <c r="N297" s="19"/>
      <c r="O297" s="19"/>
      <c r="P297" s="19"/>
    </row>
    <row r="298" spans="1:16" ht="12.75" hidden="1" x14ac:dyDescent="0.2">
      <c r="A298" s="165"/>
      <c r="B298" s="166"/>
      <c r="C298" s="166"/>
      <c r="D298" s="16"/>
      <c r="E298" s="16"/>
      <c r="F298" s="16"/>
      <c r="G298" s="17"/>
      <c r="H298" s="17"/>
      <c r="I298" s="18"/>
      <c r="J298" s="18"/>
      <c r="K298" s="19"/>
      <c r="L298" s="19"/>
      <c r="M298" s="19"/>
      <c r="N298" s="19"/>
      <c r="O298" s="19"/>
      <c r="P298" s="19"/>
    </row>
    <row r="299" spans="1:16" ht="12.75" hidden="1" x14ac:dyDescent="0.2">
      <c r="A299" s="309"/>
      <c r="B299" s="310"/>
      <c r="C299" s="310"/>
      <c r="D299" s="21"/>
      <c r="E299" s="21"/>
      <c r="F299" s="21"/>
      <c r="G299" s="12"/>
      <c r="H299" s="12"/>
      <c r="I299" s="13"/>
      <c r="J299" s="13"/>
      <c r="K299" s="14"/>
      <c r="L299" s="14"/>
      <c r="M299" s="14"/>
      <c r="N299" s="14"/>
      <c r="O299" s="14"/>
      <c r="P299" s="14"/>
    </row>
    <row r="300" spans="1:16" ht="19.5" hidden="1" x14ac:dyDescent="0.3">
      <c r="A300" s="311" t="s">
        <v>119</v>
      </c>
      <c r="B300" s="312"/>
      <c r="C300" s="312"/>
      <c r="D300" s="312"/>
      <c r="E300" s="313"/>
      <c r="F300" s="313"/>
      <c r="G300" s="313"/>
      <c r="H300" s="313"/>
      <c r="I300" s="314"/>
      <c r="J300" s="314"/>
      <c r="K300" s="315"/>
      <c r="L300" s="315"/>
      <c r="M300" s="315"/>
      <c r="N300" s="315"/>
      <c r="O300" s="315"/>
      <c r="P300" s="316"/>
    </row>
    <row r="301" spans="1:16" ht="19.5" hidden="1" x14ac:dyDescent="0.3">
      <c r="A301" s="317" t="s">
        <v>120</v>
      </c>
      <c r="B301" s="318"/>
      <c r="C301" s="318"/>
      <c r="D301" s="319"/>
      <c r="E301" s="319"/>
      <c r="F301" s="319"/>
      <c r="G301" s="320"/>
      <c r="H301" s="320"/>
      <c r="I301" s="321"/>
      <c r="J301" s="321"/>
      <c r="K301" s="322"/>
      <c r="L301" s="322"/>
      <c r="M301" s="322"/>
      <c r="N301" s="322"/>
      <c r="O301" s="322"/>
      <c r="P301" s="322"/>
    </row>
    <row r="302" spans="1:16" ht="19.5" hidden="1" x14ac:dyDescent="0.3">
      <c r="A302" s="323"/>
      <c r="B302" s="324" t="s">
        <v>121</v>
      </c>
      <c r="C302" s="325"/>
      <c r="D302" s="325"/>
      <c r="E302" s="325"/>
      <c r="F302" s="325"/>
      <c r="G302" s="326"/>
      <c r="H302" s="327" t="s">
        <v>33</v>
      </c>
      <c r="I302" s="328">
        <f ca="1">I314</f>
        <v>0</v>
      </c>
      <c r="J302" s="328">
        <f>J314</f>
        <v>0</v>
      </c>
      <c r="K302" s="329">
        <f ca="1">IF(I302&gt;0,J302*100/I302,0)</f>
        <v>0</v>
      </c>
      <c r="L302" s="330"/>
      <c r="M302" s="330"/>
      <c r="N302" s="330"/>
      <c r="O302" s="330"/>
      <c r="P302" s="330"/>
    </row>
    <row r="303" spans="1:16" ht="19.5" hidden="1" x14ac:dyDescent="0.3">
      <c r="A303" s="136"/>
      <c r="B303" s="41"/>
      <c r="C303" s="197" t="s">
        <v>16</v>
      </c>
      <c r="D303" s="397" t="s">
        <v>17</v>
      </c>
      <c r="E303" s="41"/>
      <c r="F303" s="41"/>
      <c r="G303" s="43"/>
      <c r="H303" s="139" t="s">
        <v>12</v>
      </c>
      <c r="I303" s="45"/>
      <c r="J303" s="45"/>
      <c r="K303" s="46"/>
      <c r="L303" s="140">
        <f ca="1">L304+L305</f>
        <v>0</v>
      </c>
      <c r="M303" s="140">
        <f ca="1">M304+M305</f>
        <v>0</v>
      </c>
      <c r="N303" s="140">
        <f ca="1">N304+N305</f>
        <v>0</v>
      </c>
      <c r="O303" s="140">
        <f ca="1">IF(L303&gt;0,N303*100/L303,0)</f>
        <v>0</v>
      </c>
      <c r="P303" s="140">
        <f ca="1">IF(M303&gt;0,N303*100/M303,0)</f>
        <v>0</v>
      </c>
    </row>
    <row r="304" spans="1:16" ht="18.75" hidden="1" x14ac:dyDescent="0.25">
      <c r="A304" s="136"/>
      <c r="B304" s="41"/>
      <c r="C304" s="41"/>
      <c r="D304" s="41"/>
      <c r="E304" s="279" t="s">
        <v>18</v>
      </c>
      <c r="F304" s="41"/>
      <c r="G304" s="43"/>
      <c r="H304" s="141" t="s">
        <v>12</v>
      </c>
      <c r="I304" s="45"/>
      <c r="J304" s="45"/>
      <c r="K304" s="46"/>
      <c r="L304" s="50">
        <f>L307+L310</f>
        <v>0</v>
      </c>
      <c r="M304" s="50">
        <f>M307+M310</f>
        <v>0</v>
      </c>
      <c r="N304" s="50">
        <f>N307+N310</f>
        <v>0</v>
      </c>
      <c r="O304" s="50">
        <f>IF(L304&gt;0,N304*100/L304,0)</f>
        <v>0</v>
      </c>
      <c r="P304" s="50">
        <f>IF(M304&gt;0,N304*100/M304,0)</f>
        <v>0</v>
      </c>
    </row>
    <row r="305" spans="1:16" ht="18.75" hidden="1" x14ac:dyDescent="0.25">
      <c r="A305" s="136"/>
      <c r="B305" s="41"/>
      <c r="C305" s="41"/>
      <c r="D305" s="41"/>
      <c r="E305" s="254" t="s">
        <v>19</v>
      </c>
      <c r="F305" s="41"/>
      <c r="G305" s="43"/>
      <c r="H305" s="142" t="s">
        <v>12</v>
      </c>
      <c r="I305" s="45"/>
      <c r="J305" s="45"/>
      <c r="K305" s="46"/>
      <c r="L305" s="47">
        <f ca="1">L308+L311</f>
        <v>0</v>
      </c>
      <c r="M305" s="47">
        <f ca="1">M308+M311</f>
        <v>0</v>
      </c>
      <c r="N305" s="47">
        <f ca="1">N308+N311</f>
        <v>0</v>
      </c>
      <c r="O305" s="47">
        <f ca="1">IF(L305&gt;0,N305*100/L305,0)</f>
        <v>0</v>
      </c>
      <c r="P305" s="47">
        <f ca="1">IF(M305&gt;0,N305*100/M305,0)</f>
        <v>0</v>
      </c>
    </row>
    <row r="306" spans="1:16" ht="18.75" hidden="1" x14ac:dyDescent="0.25">
      <c r="A306" s="136"/>
      <c r="B306" s="41"/>
      <c r="C306" s="41"/>
      <c r="D306" s="42" t="s">
        <v>20</v>
      </c>
      <c r="E306" s="41"/>
      <c r="F306" s="41"/>
      <c r="G306" s="43"/>
      <c r="H306" s="143" t="s">
        <v>12</v>
      </c>
      <c r="I306" s="144"/>
      <c r="J306" s="144"/>
      <c r="K306" s="145"/>
      <c r="L306" s="47">
        <f ca="1">L307+L308</f>
        <v>0</v>
      </c>
      <c r="M306" s="47">
        <f ca="1">M307+M308</f>
        <v>0</v>
      </c>
      <c r="N306" s="47">
        <f ca="1">N307+N308</f>
        <v>0</v>
      </c>
      <c r="O306" s="47">
        <f ca="1">IF(L306&gt;0,N306*100/L306,0)</f>
        <v>0</v>
      </c>
      <c r="P306" s="47">
        <f ca="1">IF(M306&gt;0,N306*100/M306,0)</f>
        <v>0</v>
      </c>
    </row>
    <row r="307" spans="1:16" ht="18.75" hidden="1" x14ac:dyDescent="0.25">
      <c r="A307" s="136"/>
      <c r="B307" s="41"/>
      <c r="C307" s="41"/>
      <c r="D307" s="41"/>
      <c r="E307" s="279" t="s">
        <v>34</v>
      </c>
      <c r="F307" s="41"/>
      <c r="G307" s="43"/>
      <c r="H307" s="146" t="s">
        <v>12</v>
      </c>
      <c r="I307" s="144"/>
      <c r="J307" s="144"/>
      <c r="K307" s="145"/>
      <c r="L307" s="50">
        <v>0</v>
      </c>
      <c r="M307" s="50">
        <v>0</v>
      </c>
      <c r="N307" s="50">
        <v>0</v>
      </c>
      <c r="O307" s="50">
        <f>IF(L307&gt;0,N307*100/L307,0)</f>
        <v>0</v>
      </c>
      <c r="P307" s="50">
        <f>IF(M307&gt;0,N307*100/M307,0)</f>
        <v>0</v>
      </c>
    </row>
    <row r="308" spans="1:16" ht="18.75" hidden="1" x14ac:dyDescent="0.25">
      <c r="A308" s="136"/>
      <c r="B308" s="41"/>
      <c r="C308" s="41"/>
      <c r="D308" s="41"/>
      <c r="E308" s="254" t="s">
        <v>35</v>
      </c>
      <c r="F308" s="41"/>
      <c r="G308" s="43"/>
      <c r="H308" s="143" t="s">
        <v>12</v>
      </c>
      <c r="I308" s="144"/>
      <c r="J308" s="144"/>
      <c r="K308" s="145"/>
      <c r="L308" s="47">
        <f ca="1">IFERROR(__xludf.DUMMYFUNCTION("IMPORTRANGE(""https://docs.google.com/spreadsheets/d/1-uDff_7J0KD5mKrp0Vvzr7lt3OU09vwQwhkpOPPYv2Y/edit?usp=sharing"",""งบพรบ!DY26"")"),0)</f>
        <v>0</v>
      </c>
      <c r="M308" s="47">
        <f ca="1">IFERROR(__xludf.DUMMYFUNCTION("IMPORTRANGE(""https://docs.google.com/spreadsheets/d/1-uDff_7J0KD5mKrp0Vvzr7lt3OU09vwQwhkpOPPYv2Y/edit?usp=sharing"",""งบพรบ!ED26"")"),0)</f>
        <v>0</v>
      </c>
      <c r="N308" s="47">
        <f ca="1">IFERROR(__xludf.DUMMYFUNCTION("IMPORTRANGE(""https://docs.google.com/spreadsheets/d/1-uDff_7J0KD5mKrp0Vvzr7lt3OU09vwQwhkpOPPYv2Y/edit?usp=sharing"",""งบพรบ!EF26"")"),0)</f>
        <v>0</v>
      </c>
      <c r="O308" s="47">
        <f ca="1">IF(L308&gt;0,N308*100/L308,0)</f>
        <v>0</v>
      </c>
      <c r="P308" s="47">
        <f ca="1">IF(M308&gt;0,N308*100/M308,0)</f>
        <v>0</v>
      </c>
    </row>
    <row r="309" spans="1:16" ht="18.75" hidden="1" x14ac:dyDescent="0.25">
      <c r="A309" s="136"/>
      <c r="B309" s="41"/>
      <c r="C309" s="41"/>
      <c r="D309" s="42" t="s">
        <v>21</v>
      </c>
      <c r="E309" s="41"/>
      <c r="F309" s="41"/>
      <c r="G309" s="43"/>
      <c r="H309" s="147" t="s">
        <v>12</v>
      </c>
      <c r="I309" s="144"/>
      <c r="J309" s="144"/>
      <c r="K309" s="145"/>
      <c r="L309" s="47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</row>
    <row r="310" spans="1:16" ht="18.75" hidden="1" x14ac:dyDescent="0.25">
      <c r="A310" s="136"/>
      <c r="B310" s="41"/>
      <c r="C310" s="41"/>
      <c r="D310" s="41"/>
      <c r="E310" s="279" t="s">
        <v>18</v>
      </c>
      <c r="F310" s="41"/>
      <c r="G310" s="43"/>
      <c r="H310" s="146" t="s">
        <v>12</v>
      </c>
      <c r="I310" s="144"/>
      <c r="J310" s="144"/>
      <c r="K310" s="145"/>
      <c r="L310" s="50">
        <v>0</v>
      </c>
      <c r="M310" s="50">
        <v>0</v>
      </c>
      <c r="N310" s="50">
        <v>0</v>
      </c>
      <c r="O310" s="50">
        <f>IF(L310&gt;0,N310*100/L310,0)</f>
        <v>0</v>
      </c>
      <c r="P310" s="50">
        <f>IF(M310&gt;0,N310*100/M310,0)</f>
        <v>0</v>
      </c>
    </row>
    <row r="311" spans="1:16" ht="18.75" hidden="1" x14ac:dyDescent="0.25">
      <c r="A311" s="136"/>
      <c r="B311" s="41"/>
      <c r="C311" s="41"/>
      <c r="D311" s="41"/>
      <c r="E311" s="254" t="s">
        <v>19</v>
      </c>
      <c r="F311" s="41"/>
      <c r="G311" s="43"/>
      <c r="H311" s="147" t="s">
        <v>12</v>
      </c>
      <c r="I311" s="144"/>
      <c r="J311" s="144"/>
      <c r="K311" s="145"/>
      <c r="L311" s="47">
        <f ca="1">IFERROR(__xludf.DUMMYFUNCTION("IMPORTRANGE(""https://docs.google.com/spreadsheets/d/1-uDff_7J0KD5mKrp0Vvzr7lt3OU09vwQwhkpOPPYv2Y/edit?usp=sharing"",""งบพรบ!EB26"")"),0)</f>
        <v>0</v>
      </c>
      <c r="M311" s="47">
        <f ca="1">IFERROR(__xludf.DUMMYFUNCTION("IMPORTRANGE(""https://docs.google.com/spreadsheets/d/1-uDff_7J0KD5mKrp0Vvzr7lt3OU09vwQwhkpOPPYv2Y/edit?usp=sharing"",""งบพรบ!EE26"")"),0)</f>
        <v>0</v>
      </c>
      <c r="N311" s="47">
        <f ca="1">IFERROR(__xludf.DUMMYFUNCTION("IMPORTRANGE(""https://docs.google.com/spreadsheets/d/1-uDff_7J0KD5mKrp0Vvzr7lt3OU09vwQwhkpOPPYv2Y/edit?usp=sharing"",""งบพรบ!EG26"")"),0)</f>
        <v>0</v>
      </c>
      <c r="O311" s="47">
        <f ca="1">IF(L311&gt;0,N311*100/L311,0)</f>
        <v>0</v>
      </c>
      <c r="P311" s="47">
        <f ca="1">IF(M311&gt;0,N311*100/M311,0)</f>
        <v>0</v>
      </c>
    </row>
    <row r="312" spans="1:16" ht="19.5" hidden="1" x14ac:dyDescent="0.3">
      <c r="A312" s="148"/>
      <c r="B312" s="149"/>
      <c r="C312" s="197" t="s">
        <v>16</v>
      </c>
      <c r="D312" s="395" t="s">
        <v>36</v>
      </c>
      <c r="E312" s="151"/>
      <c r="F312" s="151"/>
      <c r="G312" s="152"/>
      <c r="H312" s="153"/>
      <c r="I312" s="45"/>
      <c r="J312" s="45"/>
      <c r="K312" s="46"/>
      <c r="L312" s="46"/>
      <c r="M312" s="46"/>
      <c r="N312" s="46"/>
      <c r="O312" s="46"/>
      <c r="P312" s="46"/>
    </row>
    <row r="313" spans="1:16" ht="18.75" hidden="1" x14ac:dyDescent="0.25">
      <c r="A313" s="148"/>
      <c r="B313" s="149"/>
      <c r="C313" s="149"/>
      <c r="D313" s="159" t="s">
        <v>122</v>
      </c>
      <c r="E313" s="155"/>
      <c r="F313" s="155"/>
      <c r="G313" s="153"/>
      <c r="H313" s="153"/>
      <c r="I313" s="45"/>
      <c r="J313" s="250">
        <v>0</v>
      </c>
      <c r="K313" s="46"/>
      <c r="L313" s="46"/>
      <c r="M313" s="46"/>
      <c r="N313" s="46"/>
      <c r="O313" s="46"/>
      <c r="P313" s="46"/>
    </row>
    <row r="314" spans="1:16" ht="18.75" hidden="1" x14ac:dyDescent="0.25">
      <c r="A314" s="148"/>
      <c r="B314" s="149"/>
      <c r="C314" s="149"/>
      <c r="D314" s="159" t="s">
        <v>115</v>
      </c>
      <c r="E314" s="155"/>
      <c r="F314" s="155"/>
      <c r="G314" s="153"/>
      <c r="H314" s="251" t="s">
        <v>33</v>
      </c>
      <c r="I314" s="169">
        <f ca="1">IFERROR(__xludf.DUMMYFUNCTION("IMPORTRANGE(""https://docs.google.com/spreadsheets/d/1eHaY18a8A9IcSdp1K8H6x8fbOy06t2VsZHhMHf-1x7Y/edit?usp=sharing"",""แผน!EF26"")"),0)</f>
        <v>0</v>
      </c>
      <c r="J314" s="250">
        <v>0</v>
      </c>
      <c r="K314" s="47">
        <f ca="1">IF(I314&gt;0,J314*100/I314,0)</f>
        <v>0</v>
      </c>
      <c r="L314" s="46"/>
      <c r="M314" s="46"/>
      <c r="N314" s="46"/>
      <c r="O314" s="46"/>
      <c r="P314" s="46"/>
    </row>
    <row r="315" spans="1:16" ht="18.75" hidden="1" x14ac:dyDescent="0.25">
      <c r="A315" s="148"/>
      <c r="B315" s="149"/>
      <c r="C315" s="149"/>
      <c r="D315" s="159" t="s">
        <v>123</v>
      </c>
      <c r="E315" s="155"/>
      <c r="F315" s="155"/>
      <c r="G315" s="153"/>
      <c r="H315" s="251" t="s">
        <v>33</v>
      </c>
      <c r="I315" s="169">
        <f ca="1">IFERROR(__xludf.DUMMYFUNCTION("IMPORTRANGE(""https://docs.google.com/spreadsheets/d/1eHaY18a8A9IcSdp1K8H6x8fbOy06t2VsZHhMHf-1x7Y/edit?usp=sharing"",""แผน!EG26"")"),0)</f>
        <v>0</v>
      </c>
      <c r="J315" s="250">
        <v>0</v>
      </c>
      <c r="K315" s="47">
        <f ca="1">IF(I315&gt;0,J315*100/I315,0)</f>
        <v>0</v>
      </c>
      <c r="L315" s="46"/>
      <c r="M315" s="46"/>
      <c r="N315" s="46"/>
      <c r="O315" s="46"/>
      <c r="P315" s="46"/>
    </row>
    <row r="316" spans="1:16" ht="18.75" hidden="1" x14ac:dyDescent="0.25">
      <c r="A316" s="148"/>
      <c r="B316" s="149"/>
      <c r="C316" s="149"/>
      <c r="D316" s="159" t="s">
        <v>48</v>
      </c>
      <c r="E316" s="155"/>
      <c r="F316" s="155"/>
      <c r="G316" s="153"/>
      <c r="H316" s="251" t="s">
        <v>33</v>
      </c>
      <c r="I316" s="169">
        <f ca="1">IFERROR(__xludf.DUMMYFUNCTION("IMPORTRANGE(""https://docs.google.com/spreadsheets/d/1eHaY18a8A9IcSdp1K8H6x8fbOy06t2VsZHhMHf-1x7Y/edit?usp=sharing"",""แผน!EH26"")"),0)</f>
        <v>0</v>
      </c>
      <c r="J316" s="250">
        <v>0</v>
      </c>
      <c r="K316" s="47">
        <f ca="1">IF(I316&gt;0,J316*100/I316,0)</f>
        <v>0</v>
      </c>
      <c r="L316" s="46"/>
      <c r="M316" s="46"/>
      <c r="N316" s="46"/>
      <c r="O316" s="46"/>
      <c r="P316" s="46"/>
    </row>
    <row r="317" spans="1:16" ht="18.75" hidden="1" x14ac:dyDescent="0.25">
      <c r="A317" s="227"/>
      <c r="B317" s="228"/>
      <c r="C317" s="228"/>
      <c r="D317" s="279" t="s">
        <v>124</v>
      </c>
      <c r="E317" s="41"/>
      <c r="F317" s="41"/>
      <c r="G317" s="43"/>
      <c r="H317" s="49" t="s">
        <v>33</v>
      </c>
      <c r="I317" s="200">
        <f ca="1">IFERROR(__xludf.DUMMYFUNCTION("IMPORTRANGE(""https://docs.google.com/spreadsheets/d/1eHaY18a8A9IcSdp1K8H6x8fbOy06t2VsZHhMHf-1x7Y/edit?usp=sharing"",""แผน!EI26"")"),0)</f>
        <v>0</v>
      </c>
      <c r="J317" s="200">
        <v>0</v>
      </c>
      <c r="K317" s="50">
        <f ca="1">IF(I317&gt;0,J317*100/I317,0)</f>
        <v>0</v>
      </c>
      <c r="L317" s="46"/>
      <c r="M317" s="46"/>
      <c r="N317" s="46"/>
      <c r="O317" s="46"/>
      <c r="P317" s="46"/>
    </row>
    <row r="318" spans="1:16" ht="19.5" hidden="1" x14ac:dyDescent="0.3">
      <c r="A318" s="317" t="s">
        <v>125</v>
      </c>
      <c r="B318" s="318"/>
      <c r="C318" s="318"/>
      <c r="D318" s="319"/>
      <c r="E318" s="318"/>
      <c r="F318" s="318"/>
      <c r="G318" s="318"/>
      <c r="H318" s="319"/>
      <c r="I318" s="321"/>
      <c r="J318" s="321"/>
      <c r="K318" s="322"/>
      <c r="L318" s="322"/>
      <c r="M318" s="322"/>
      <c r="N318" s="322"/>
      <c r="O318" s="322"/>
      <c r="P318" s="322"/>
    </row>
    <row r="319" spans="1:16" ht="19.5" hidden="1" x14ac:dyDescent="0.3">
      <c r="A319" s="331"/>
      <c r="B319" s="324" t="s">
        <v>126</v>
      </c>
      <c r="C319" s="332"/>
      <c r="D319" s="333"/>
      <c r="E319" s="325"/>
      <c r="F319" s="325"/>
      <c r="G319" s="326"/>
      <c r="H319" s="327" t="s">
        <v>127</v>
      </c>
      <c r="I319" s="328">
        <f ca="1">I330</f>
        <v>0</v>
      </c>
      <c r="J319" s="328">
        <f>J330</f>
        <v>0</v>
      </c>
      <c r="K319" s="329">
        <f ca="1">IF(I319&gt;0,J319*100/I319,0)</f>
        <v>0</v>
      </c>
      <c r="L319" s="330"/>
      <c r="M319" s="330"/>
      <c r="N319" s="330"/>
      <c r="O319" s="330"/>
      <c r="P319" s="330"/>
    </row>
    <row r="320" spans="1:16" ht="19.5" hidden="1" x14ac:dyDescent="0.3">
      <c r="A320" s="136"/>
      <c r="B320" s="41"/>
      <c r="C320" s="197" t="s">
        <v>16</v>
      </c>
      <c r="D320" s="397" t="s">
        <v>17</v>
      </c>
      <c r="E320" s="41"/>
      <c r="F320" s="41"/>
      <c r="G320" s="43"/>
      <c r="H320" s="139" t="s">
        <v>12</v>
      </c>
      <c r="I320" s="45"/>
      <c r="J320" s="45"/>
      <c r="K320" s="46"/>
      <c r="L320" s="140">
        <f ca="1">L321+L322</f>
        <v>0</v>
      </c>
      <c r="M320" s="140">
        <f ca="1">M321+M322</f>
        <v>0</v>
      </c>
      <c r="N320" s="140">
        <f ca="1">N321+N322</f>
        <v>0</v>
      </c>
      <c r="O320" s="140">
        <f ca="1">IF(L320&gt;0,N320*100/L320,0)</f>
        <v>0</v>
      </c>
      <c r="P320" s="140">
        <f ca="1">IF(M320&gt;0,N320*100/M320,0)</f>
        <v>0</v>
      </c>
    </row>
    <row r="321" spans="1:16" ht="18.75" hidden="1" x14ac:dyDescent="0.25">
      <c r="A321" s="136"/>
      <c r="B321" s="41"/>
      <c r="C321" s="41"/>
      <c r="D321" s="41"/>
      <c r="E321" s="279" t="s">
        <v>18</v>
      </c>
      <c r="F321" s="41"/>
      <c r="G321" s="43"/>
      <c r="H321" s="141" t="s">
        <v>12</v>
      </c>
      <c r="I321" s="45"/>
      <c r="J321" s="45"/>
      <c r="K321" s="46"/>
      <c r="L321" s="50">
        <f>L324+L327</f>
        <v>0</v>
      </c>
      <c r="M321" s="50">
        <f>M324+M327</f>
        <v>0</v>
      </c>
      <c r="N321" s="50">
        <f>N324+N327</f>
        <v>0</v>
      </c>
      <c r="O321" s="50">
        <f>IF(L321&gt;0,N321*100/L321,0)</f>
        <v>0</v>
      </c>
      <c r="P321" s="50">
        <f>IF(M321&gt;0,N321*100/M321,0)</f>
        <v>0</v>
      </c>
    </row>
    <row r="322" spans="1:16" ht="18.75" hidden="1" x14ac:dyDescent="0.25">
      <c r="A322" s="136"/>
      <c r="B322" s="41"/>
      <c r="C322" s="41"/>
      <c r="D322" s="41"/>
      <c r="E322" s="254" t="s">
        <v>19</v>
      </c>
      <c r="F322" s="41"/>
      <c r="G322" s="43"/>
      <c r="H322" s="142" t="s">
        <v>12</v>
      </c>
      <c r="I322" s="45"/>
      <c r="J322" s="45"/>
      <c r="K322" s="46"/>
      <c r="L322" s="47">
        <f ca="1">L325+L328</f>
        <v>0</v>
      </c>
      <c r="M322" s="47">
        <f ca="1">M325+M328</f>
        <v>0</v>
      </c>
      <c r="N322" s="47">
        <f ca="1">N325+N328</f>
        <v>0</v>
      </c>
      <c r="O322" s="47">
        <f ca="1">IF(L322&gt;0,N322*100/L322,0)</f>
        <v>0</v>
      </c>
      <c r="P322" s="47">
        <f ca="1">IF(M322&gt;0,N322*100/M322,0)</f>
        <v>0</v>
      </c>
    </row>
    <row r="323" spans="1:16" ht="18.75" hidden="1" x14ac:dyDescent="0.25">
      <c r="A323" s="136"/>
      <c r="B323" s="41"/>
      <c r="C323" s="41"/>
      <c r="D323" s="42" t="s">
        <v>20</v>
      </c>
      <c r="E323" s="41"/>
      <c r="F323" s="41"/>
      <c r="G323" s="43"/>
      <c r="H323" s="143" t="s">
        <v>12</v>
      </c>
      <c r="I323" s="144"/>
      <c r="J323" s="144"/>
      <c r="K323" s="145"/>
      <c r="L323" s="47">
        <f ca="1">L324+L325</f>
        <v>0</v>
      </c>
      <c r="M323" s="47">
        <f ca="1">M324+M325</f>
        <v>0</v>
      </c>
      <c r="N323" s="47">
        <f ca="1">N324+N325</f>
        <v>0</v>
      </c>
      <c r="O323" s="47">
        <f ca="1">IF(L323&gt;0,N323*100/L323,0)</f>
        <v>0</v>
      </c>
      <c r="P323" s="47">
        <f ca="1">IF(M323&gt;0,N323*100/M323,0)</f>
        <v>0</v>
      </c>
    </row>
    <row r="324" spans="1:16" ht="18.75" hidden="1" x14ac:dyDescent="0.25">
      <c r="A324" s="136"/>
      <c r="B324" s="41"/>
      <c r="C324" s="41"/>
      <c r="D324" s="41"/>
      <c r="E324" s="279" t="s">
        <v>34</v>
      </c>
      <c r="F324" s="41"/>
      <c r="G324" s="43"/>
      <c r="H324" s="146" t="s">
        <v>12</v>
      </c>
      <c r="I324" s="144"/>
      <c r="J324" s="144"/>
      <c r="K324" s="145"/>
      <c r="L324" s="50">
        <v>0</v>
      </c>
      <c r="M324" s="50">
        <v>0</v>
      </c>
      <c r="N324" s="50">
        <v>0</v>
      </c>
      <c r="O324" s="50">
        <f>IF(L324&gt;0,N324*100/L324,0)</f>
        <v>0</v>
      </c>
      <c r="P324" s="50">
        <f>IF(M324&gt;0,N324*100/M324,0)</f>
        <v>0</v>
      </c>
    </row>
    <row r="325" spans="1:16" ht="18.75" hidden="1" x14ac:dyDescent="0.25">
      <c r="A325" s="136"/>
      <c r="B325" s="41"/>
      <c r="C325" s="41"/>
      <c r="D325" s="41"/>
      <c r="E325" s="254" t="s">
        <v>35</v>
      </c>
      <c r="F325" s="41"/>
      <c r="G325" s="43"/>
      <c r="H325" s="143" t="s">
        <v>12</v>
      </c>
      <c r="I325" s="144"/>
      <c r="J325" s="144"/>
      <c r="K325" s="145"/>
      <c r="L325" s="47">
        <f ca="1">IFERROR(__xludf.DUMMYFUNCTION("IMPORTRANGE(""https://docs.google.com/spreadsheets/d/1-uDff_7J0KD5mKrp0Vvzr7lt3OU09vwQwhkpOPPYv2Y/edit?usp=sharing"",""งบพรบ!EI26"")"),0)</f>
        <v>0</v>
      </c>
      <c r="M325" s="47">
        <f ca="1">IFERROR(__xludf.DUMMYFUNCTION("IMPORTRANGE(""https://docs.google.com/spreadsheets/d/1-uDff_7J0KD5mKrp0Vvzr7lt3OU09vwQwhkpOPPYv2Y/edit?usp=sharing"",""งบพรบ!EN26"")"),0)</f>
        <v>0</v>
      </c>
      <c r="N325" s="47">
        <f ca="1">IFERROR(__xludf.DUMMYFUNCTION("IMPORTRANGE(""https://docs.google.com/spreadsheets/d/1-uDff_7J0KD5mKrp0Vvzr7lt3OU09vwQwhkpOPPYv2Y/edit?usp=sharing"",""งบพรบ!EP26"")"),0)</f>
        <v>0</v>
      </c>
      <c r="O325" s="47">
        <f ca="1">IF(L325&gt;0,N325*100/L325,0)</f>
        <v>0</v>
      </c>
      <c r="P325" s="47">
        <f ca="1">IF(M325&gt;0,N325*100/M325,0)</f>
        <v>0</v>
      </c>
    </row>
    <row r="326" spans="1:16" ht="18.75" hidden="1" x14ac:dyDescent="0.25">
      <c r="A326" s="136"/>
      <c r="B326" s="41"/>
      <c r="C326" s="41"/>
      <c r="D326" s="42" t="s">
        <v>21</v>
      </c>
      <c r="E326" s="41"/>
      <c r="F326" s="41"/>
      <c r="G326" s="43"/>
      <c r="H326" s="147" t="s">
        <v>12</v>
      </c>
      <c r="I326" s="144"/>
      <c r="J326" s="144"/>
      <c r="K326" s="145"/>
      <c r="L326" s="47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</row>
    <row r="327" spans="1:16" ht="18.75" hidden="1" x14ac:dyDescent="0.25">
      <c r="A327" s="136"/>
      <c r="B327" s="41"/>
      <c r="C327" s="41"/>
      <c r="D327" s="41"/>
      <c r="E327" s="279" t="s">
        <v>18</v>
      </c>
      <c r="F327" s="41"/>
      <c r="G327" s="43"/>
      <c r="H327" s="146" t="s">
        <v>12</v>
      </c>
      <c r="I327" s="144"/>
      <c r="J327" s="144"/>
      <c r="K327" s="145"/>
      <c r="L327" s="50">
        <v>0</v>
      </c>
      <c r="M327" s="50">
        <v>0</v>
      </c>
      <c r="N327" s="50">
        <v>0</v>
      </c>
      <c r="O327" s="50">
        <f>IF(L327&gt;0,N327*100/L327,0)</f>
        <v>0</v>
      </c>
      <c r="P327" s="50">
        <f>IF(M327&gt;0,N327*100/M327,0)</f>
        <v>0</v>
      </c>
    </row>
    <row r="328" spans="1:16" ht="18.75" hidden="1" x14ac:dyDescent="0.25">
      <c r="A328" s="136"/>
      <c r="B328" s="41"/>
      <c r="C328" s="41"/>
      <c r="D328" s="41"/>
      <c r="E328" s="254" t="s">
        <v>19</v>
      </c>
      <c r="F328" s="41"/>
      <c r="G328" s="43"/>
      <c r="H328" s="147" t="s">
        <v>12</v>
      </c>
      <c r="I328" s="144"/>
      <c r="J328" s="144"/>
      <c r="K328" s="145"/>
      <c r="L328" s="47">
        <f ca="1">IFERROR(__xludf.DUMMYFUNCTION("IMPORTRANGE(""https://docs.google.com/spreadsheets/d/1-uDff_7J0KD5mKrp0Vvzr7lt3OU09vwQwhkpOPPYv2Y/edit?usp=sharing"",""งบพรบ!EL26"")"),0)</f>
        <v>0</v>
      </c>
      <c r="M328" s="47">
        <f ca="1">IFERROR(__xludf.DUMMYFUNCTION("IMPORTRANGE(""https://docs.google.com/spreadsheets/d/1-uDff_7J0KD5mKrp0Vvzr7lt3OU09vwQwhkpOPPYv2Y/edit?usp=sharing"",""งบพรบ!EO26"")"),0)</f>
        <v>0</v>
      </c>
      <c r="N328" s="47">
        <f ca="1">IFERROR(__xludf.DUMMYFUNCTION("IMPORTRANGE(""https://docs.google.com/spreadsheets/d/1-uDff_7J0KD5mKrp0Vvzr7lt3OU09vwQwhkpOPPYv2Y/edit?usp=sharing"",""งบพรบ!EQ26"")"),0)</f>
        <v>0</v>
      </c>
      <c r="O328" s="47">
        <f ca="1">IF(L328&gt;0,N328*100/L328,0)</f>
        <v>0</v>
      </c>
      <c r="P328" s="47">
        <f ca="1">IF(M328&gt;0,N328*100/M328,0)</f>
        <v>0</v>
      </c>
    </row>
    <row r="329" spans="1:16" ht="19.5" hidden="1" x14ac:dyDescent="0.3">
      <c r="A329" s="148"/>
      <c r="B329" s="149"/>
      <c r="C329" s="197" t="s">
        <v>16</v>
      </c>
      <c r="D329" s="395" t="s">
        <v>36</v>
      </c>
      <c r="E329" s="151"/>
      <c r="F329" s="151"/>
      <c r="G329" s="152"/>
      <c r="H329" s="153"/>
      <c r="I329" s="144"/>
      <c r="J329" s="45"/>
      <c r="K329" s="46"/>
      <c r="L329" s="46"/>
      <c r="M329" s="46"/>
      <c r="N329" s="46"/>
      <c r="O329" s="145"/>
      <c r="P329" s="145"/>
    </row>
    <row r="330" spans="1:16" ht="18.75" hidden="1" x14ac:dyDescent="0.25">
      <c r="A330" s="148"/>
      <c r="B330" s="149"/>
      <c r="C330" s="149"/>
      <c r="D330" s="154" t="s">
        <v>128</v>
      </c>
      <c r="E330" s="155"/>
      <c r="F330" s="155"/>
      <c r="G330" s="153"/>
      <c r="H330" s="44" t="s">
        <v>127</v>
      </c>
      <c r="I330" s="169">
        <f ca="1">IFERROR(__xludf.DUMMYFUNCTION("IMPORTRANGE(""https://docs.google.com/spreadsheets/d/1eHaY18a8A9IcSdp1K8H6x8fbOy06t2VsZHhMHf-1x7Y/edit?usp=sharing"",""แผน!EJ26"")"),0)</f>
        <v>0</v>
      </c>
      <c r="J330" s="250">
        <v>0</v>
      </c>
      <c r="K330" s="47">
        <f ca="1">IF(I330&gt;0,J330*100/I330,0)</f>
        <v>0</v>
      </c>
      <c r="L330" s="46"/>
      <c r="M330" s="46"/>
      <c r="N330" s="46"/>
      <c r="O330" s="145"/>
      <c r="P330" s="145"/>
    </row>
    <row r="331" spans="1:16" ht="19.5" x14ac:dyDescent="0.3">
      <c r="A331" s="317" t="s">
        <v>129</v>
      </c>
      <c r="B331" s="318"/>
      <c r="C331" s="318"/>
      <c r="D331" s="319"/>
      <c r="E331" s="318"/>
      <c r="F331" s="318"/>
      <c r="G331" s="318"/>
      <c r="H331" s="319"/>
      <c r="I331" s="321"/>
      <c r="J331" s="321"/>
      <c r="K331" s="322"/>
      <c r="L331" s="322"/>
      <c r="M331" s="322"/>
      <c r="N331" s="322"/>
      <c r="O331" s="322"/>
      <c r="P331" s="322"/>
    </row>
    <row r="332" spans="1:16" ht="19.5" x14ac:dyDescent="0.3">
      <c r="A332" s="323"/>
      <c r="B332" s="324" t="s">
        <v>130</v>
      </c>
      <c r="C332" s="333"/>
      <c r="D332" s="325"/>
      <c r="E332" s="325"/>
      <c r="F332" s="325"/>
      <c r="G332" s="326"/>
      <c r="H332" s="327" t="s">
        <v>33</v>
      </c>
      <c r="I332" s="334">
        <f ca="1">I344</f>
        <v>1340</v>
      </c>
      <c r="J332" s="335">
        <f ca="1">J344+J347+J348+J349+J353</f>
        <v>1132</v>
      </c>
      <c r="K332" s="336">
        <f ca="1">IF(I332&gt;0,J332*100/I332,0)</f>
        <v>84.477611940298502</v>
      </c>
      <c r="L332" s="330"/>
      <c r="M332" s="330"/>
      <c r="N332" s="330"/>
      <c r="O332" s="330"/>
      <c r="P332" s="330"/>
    </row>
    <row r="333" spans="1:16" ht="19.5" x14ac:dyDescent="0.3">
      <c r="A333" s="136"/>
      <c r="B333" s="41"/>
      <c r="C333" s="197" t="s">
        <v>16</v>
      </c>
      <c r="D333" s="397" t="s">
        <v>17</v>
      </c>
      <c r="E333" s="41"/>
      <c r="F333" s="41"/>
      <c r="G333" s="43"/>
      <c r="H333" s="139" t="s">
        <v>12</v>
      </c>
      <c r="I333" s="45"/>
      <c r="J333" s="45"/>
      <c r="K333" s="46"/>
      <c r="L333" s="140">
        <f ca="1">L334+L335</f>
        <v>110000</v>
      </c>
      <c r="M333" s="140">
        <f ca="1">M334+M335</f>
        <v>85750</v>
      </c>
      <c r="N333" s="140">
        <f ca="1">N334+N335</f>
        <v>29500</v>
      </c>
      <c r="O333" s="140">
        <f ca="1">IF(L333&gt;0,N333*100/L333,0)</f>
        <v>26.818181818181817</v>
      </c>
      <c r="P333" s="140">
        <f ca="1">IF(M333&gt;0,N333*100/M333,0)</f>
        <v>34.402332361516038</v>
      </c>
    </row>
    <row r="334" spans="1:16" ht="18.75" hidden="1" x14ac:dyDescent="0.25">
      <c r="A334" s="136"/>
      <c r="B334" s="41"/>
      <c r="C334" s="41"/>
      <c r="D334" s="41"/>
      <c r="E334" s="279" t="s">
        <v>18</v>
      </c>
      <c r="F334" s="41"/>
      <c r="G334" s="43"/>
      <c r="H334" s="141" t="s">
        <v>12</v>
      </c>
      <c r="I334" s="45"/>
      <c r="J334" s="45"/>
      <c r="K334" s="46"/>
      <c r="L334" s="50">
        <f>L337+L340</f>
        <v>0</v>
      </c>
      <c r="M334" s="50">
        <f>M337+M340</f>
        <v>0</v>
      </c>
      <c r="N334" s="50">
        <f>N337+N340</f>
        <v>0</v>
      </c>
      <c r="O334" s="50">
        <f>IF(L334&gt;0,N334*100/L334,0)</f>
        <v>0</v>
      </c>
      <c r="P334" s="50">
        <f>IF(M334&gt;0,N334*100/M334,0)</f>
        <v>0</v>
      </c>
    </row>
    <row r="335" spans="1:16" ht="18.75" x14ac:dyDescent="0.25">
      <c r="A335" s="136"/>
      <c r="B335" s="41"/>
      <c r="C335" s="41"/>
      <c r="D335" s="41"/>
      <c r="E335" s="254" t="s">
        <v>19</v>
      </c>
      <c r="F335" s="41"/>
      <c r="G335" s="43"/>
      <c r="H335" s="142" t="s">
        <v>12</v>
      </c>
      <c r="I335" s="45"/>
      <c r="J335" s="45"/>
      <c r="K335" s="46"/>
      <c r="L335" s="47">
        <f ca="1">L338+L341</f>
        <v>110000</v>
      </c>
      <c r="M335" s="47">
        <f ca="1">M338+M341</f>
        <v>85750</v>
      </c>
      <c r="N335" s="47">
        <f ca="1">N338+N341</f>
        <v>29500</v>
      </c>
      <c r="O335" s="47">
        <f ca="1">IF(L335&gt;0,N335*100/L335,0)</f>
        <v>26.818181818181817</v>
      </c>
      <c r="P335" s="47">
        <f ca="1">IF(M335&gt;0,N335*100/M335,0)</f>
        <v>34.402332361516038</v>
      </c>
    </row>
    <row r="336" spans="1:16" ht="18.75" x14ac:dyDescent="0.25">
      <c r="A336" s="136"/>
      <c r="B336" s="41"/>
      <c r="C336" s="41"/>
      <c r="D336" s="42" t="s">
        <v>20</v>
      </c>
      <c r="E336" s="41"/>
      <c r="F336" s="41"/>
      <c r="G336" s="43"/>
      <c r="H336" s="143" t="s">
        <v>12</v>
      </c>
      <c r="I336" s="144"/>
      <c r="J336" s="144"/>
      <c r="K336" s="145"/>
      <c r="L336" s="47">
        <f ca="1">L337+L338</f>
        <v>110000</v>
      </c>
      <c r="M336" s="47">
        <f ca="1">M337+M338</f>
        <v>85750</v>
      </c>
      <c r="N336" s="47">
        <f ca="1">N337+N338</f>
        <v>29500</v>
      </c>
      <c r="O336" s="47">
        <f ca="1">IF(L336&gt;0,N336*100/L336,0)</f>
        <v>26.818181818181817</v>
      </c>
      <c r="P336" s="47">
        <f ca="1">IF(M336&gt;0,N336*100/M336,0)</f>
        <v>34.402332361516038</v>
      </c>
    </row>
    <row r="337" spans="1:16" ht="18.75" hidden="1" x14ac:dyDescent="0.25">
      <c r="A337" s="136"/>
      <c r="B337" s="41"/>
      <c r="C337" s="41"/>
      <c r="D337" s="41"/>
      <c r="E337" s="279" t="s">
        <v>34</v>
      </c>
      <c r="F337" s="41"/>
      <c r="G337" s="43"/>
      <c r="H337" s="146" t="s">
        <v>12</v>
      </c>
      <c r="I337" s="144"/>
      <c r="J337" s="144"/>
      <c r="K337" s="145"/>
      <c r="L337" s="50">
        <v>0</v>
      </c>
      <c r="M337" s="50">
        <v>0</v>
      </c>
      <c r="N337" s="50">
        <v>0</v>
      </c>
      <c r="O337" s="50">
        <f>IF(L337&gt;0,N337*100/L337,0)</f>
        <v>0</v>
      </c>
      <c r="P337" s="50">
        <f>IF(M337&gt;0,N337*100/M337,0)</f>
        <v>0</v>
      </c>
    </row>
    <row r="338" spans="1:16" ht="18.75" x14ac:dyDescent="0.25">
      <c r="A338" s="136"/>
      <c r="B338" s="41"/>
      <c r="C338" s="41"/>
      <c r="D338" s="41"/>
      <c r="E338" s="254" t="s">
        <v>35</v>
      </c>
      <c r="F338" s="41"/>
      <c r="G338" s="43"/>
      <c r="H338" s="143" t="s">
        <v>12</v>
      </c>
      <c r="I338" s="144"/>
      <c r="J338" s="144"/>
      <c r="K338" s="145"/>
      <c r="L338" s="47">
        <f ca="1">IFERROR(__xludf.DUMMYFUNCTION("IMPORTRANGE(""https://docs.google.com/spreadsheets/d/1-uDff_7J0KD5mKrp0Vvzr7lt3OU09vwQwhkpOPPYv2Y/edit?usp=sharing"",""งบพรบ!ES26"")"),110000)</f>
        <v>110000</v>
      </c>
      <c r="M338" s="47">
        <f ca="1">IFERROR(__xludf.DUMMYFUNCTION("IMPORTRANGE(""https://docs.google.com/spreadsheets/d/1-uDff_7J0KD5mKrp0Vvzr7lt3OU09vwQwhkpOPPYv2Y/edit?usp=sharing"",""งบพรบ!EX26"")"),85750)</f>
        <v>85750</v>
      </c>
      <c r="N338" s="47">
        <f ca="1">IFERROR(__xludf.DUMMYFUNCTION("IMPORTRANGE(""https://docs.google.com/spreadsheets/d/1-uDff_7J0KD5mKrp0Vvzr7lt3OU09vwQwhkpOPPYv2Y/edit?usp=sharing"",""งบพรบ!EZ26"")"),29500)</f>
        <v>29500</v>
      </c>
      <c r="O338" s="47">
        <f ca="1">IF(L338&gt;0,N338*100/L338,0)</f>
        <v>26.818181818181817</v>
      </c>
      <c r="P338" s="47">
        <f ca="1">IF(M338&gt;0,N338*100/M338,0)</f>
        <v>34.402332361516038</v>
      </c>
    </row>
    <row r="339" spans="1:16" ht="18.75" x14ac:dyDescent="0.25">
      <c r="A339" s="136"/>
      <c r="B339" s="41"/>
      <c r="C339" s="41"/>
      <c r="D339" s="42" t="s">
        <v>21</v>
      </c>
      <c r="E339" s="41"/>
      <c r="F339" s="41"/>
      <c r="G339" s="43"/>
      <c r="H339" s="147" t="s">
        <v>12</v>
      </c>
      <c r="I339" s="144"/>
      <c r="J339" s="144"/>
      <c r="K339" s="145"/>
      <c r="L339" s="47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</row>
    <row r="340" spans="1:16" ht="18.75" hidden="1" x14ac:dyDescent="0.25">
      <c r="A340" s="136"/>
      <c r="B340" s="41"/>
      <c r="C340" s="41"/>
      <c r="D340" s="41"/>
      <c r="E340" s="279" t="s">
        <v>18</v>
      </c>
      <c r="F340" s="41"/>
      <c r="G340" s="43"/>
      <c r="H340" s="146" t="s">
        <v>12</v>
      </c>
      <c r="I340" s="144"/>
      <c r="J340" s="144"/>
      <c r="K340" s="145"/>
      <c r="L340" s="50">
        <v>0</v>
      </c>
      <c r="M340" s="50">
        <v>0</v>
      </c>
      <c r="N340" s="50">
        <v>0</v>
      </c>
      <c r="O340" s="50">
        <f>IF(L340&gt;0,N340*100/L340,0)</f>
        <v>0</v>
      </c>
      <c r="P340" s="50">
        <f>IF(M340&gt;0,N340*100/M340,0)</f>
        <v>0</v>
      </c>
    </row>
    <row r="341" spans="1:16" ht="18.75" x14ac:dyDescent="0.25">
      <c r="A341" s="136"/>
      <c r="B341" s="41"/>
      <c r="C341" s="41"/>
      <c r="D341" s="41"/>
      <c r="E341" s="254" t="s">
        <v>19</v>
      </c>
      <c r="F341" s="41"/>
      <c r="G341" s="43"/>
      <c r="H341" s="147" t="s">
        <v>12</v>
      </c>
      <c r="I341" s="144"/>
      <c r="J341" s="144"/>
      <c r="K341" s="145"/>
      <c r="L341" s="47">
        <f ca="1">IFERROR(__xludf.DUMMYFUNCTION("IMPORTRANGE(""https://docs.google.com/spreadsheets/d/1-uDff_7J0KD5mKrp0Vvzr7lt3OU09vwQwhkpOPPYv2Y/edit?usp=sharing"",""งบพรบ!EV26"")"),0)</f>
        <v>0</v>
      </c>
      <c r="M341" s="47">
        <f ca="1">IFERROR(__xludf.DUMMYFUNCTION("IMPORTRANGE(""https://docs.google.com/spreadsheets/d/1-uDff_7J0KD5mKrp0Vvzr7lt3OU09vwQwhkpOPPYv2Y/edit?usp=sharing"",""งบพรบ!EY26"")"),0)</f>
        <v>0</v>
      </c>
      <c r="N341" s="47">
        <f ca="1">IFERROR(__xludf.DUMMYFUNCTION("IMPORTRANGE(""https://docs.google.com/spreadsheets/d/1-uDff_7J0KD5mKrp0Vvzr7lt3OU09vwQwhkpOPPYv2Y/edit?usp=sharing"",""งบพรบ!FA26"")"),0)</f>
        <v>0</v>
      </c>
      <c r="O341" s="47">
        <f ca="1">IF(L341&gt;0,N341*100/L341,0)</f>
        <v>0</v>
      </c>
      <c r="P341" s="47">
        <f ca="1">IF(M341&gt;0,N341*100/M341,0)</f>
        <v>0</v>
      </c>
    </row>
    <row r="342" spans="1:16" ht="19.5" x14ac:dyDescent="0.3">
      <c r="A342" s="148"/>
      <c r="B342" s="149"/>
      <c r="C342" s="197" t="s">
        <v>16</v>
      </c>
      <c r="D342" s="221" t="s">
        <v>36</v>
      </c>
      <c r="E342" s="151"/>
      <c r="F342" s="151"/>
      <c r="G342" s="152"/>
      <c r="H342" s="43"/>
      <c r="I342" s="45"/>
      <c r="J342" s="45"/>
      <c r="K342" s="46"/>
      <c r="L342" s="46"/>
      <c r="M342" s="46"/>
      <c r="N342" s="46"/>
      <c r="O342" s="145"/>
      <c r="P342" s="145"/>
    </row>
    <row r="343" spans="1:16" ht="19.5" x14ac:dyDescent="0.3">
      <c r="A343" s="337"/>
      <c r="B343" s="338"/>
      <c r="C343" s="339"/>
      <c r="D343" s="338"/>
      <c r="E343" s="398" t="s">
        <v>131</v>
      </c>
      <c r="F343" s="338"/>
      <c r="G343" s="341"/>
      <c r="H343" s="342" t="s">
        <v>33</v>
      </c>
      <c r="I343" s="343">
        <v>0</v>
      </c>
      <c r="J343" s="343">
        <f ca="1">J344+J347+J348+J349</f>
        <v>127</v>
      </c>
      <c r="K343" s="344">
        <v>0</v>
      </c>
      <c r="L343" s="345"/>
      <c r="M343" s="345"/>
      <c r="N343" s="345"/>
      <c r="O343" s="345"/>
      <c r="P343" s="345"/>
    </row>
    <row r="344" spans="1:16" ht="18.75" x14ac:dyDescent="0.25">
      <c r="A344" s="227"/>
      <c r="B344" s="41"/>
      <c r="C344" s="228"/>
      <c r="D344" s="155"/>
      <c r="E344" s="159" t="s">
        <v>132</v>
      </c>
      <c r="F344" s="41"/>
      <c r="G344" s="43"/>
      <c r="H344" s="230" t="s">
        <v>33</v>
      </c>
      <c r="I344" s="169">
        <f ca="1">IFERROR(__xludf.DUMMYFUNCTION("IMPORTRANGE(""https://docs.google.com/spreadsheets/d/1eHaY18a8A9IcSdp1K8H6x8fbOy06t2VsZHhMHf-1x7Y/edit?usp=sharing"",""แผน!EK26"")"),1340)</f>
        <v>1340</v>
      </c>
      <c r="J344" s="169">
        <f ca="1">IFERROR(__xludf.DUMMYFUNCTION("IMPORTRANGE(""https://docs.google.com/spreadsheets/d/1awYsYK3VOup2i3Pq_Yjnu8DRu_mYwSBnCR2QPthd0rU/edit?usp=sharing"",""ศูนย์ยกเว้นโฉนด!D26"")"),124)</f>
        <v>124</v>
      </c>
      <c r="K344" s="47">
        <f ca="1">IF(I344&gt;0,J344*100/I344,0)</f>
        <v>9.2537313432835813</v>
      </c>
      <c r="L344" s="46"/>
      <c r="M344" s="46"/>
      <c r="N344" s="46"/>
      <c r="O344" s="46"/>
      <c r="P344" s="46"/>
    </row>
    <row r="345" spans="1:16" ht="18.75" x14ac:dyDescent="0.25">
      <c r="A345" s="227"/>
      <c r="B345" s="41"/>
      <c r="C345" s="228"/>
      <c r="D345" s="155"/>
      <c r="E345" s="159" t="s">
        <v>133</v>
      </c>
      <c r="F345" s="41"/>
      <c r="G345" s="43"/>
      <c r="H345" s="346"/>
      <c r="I345" s="45"/>
      <c r="J345" s="45"/>
      <c r="K345" s="46"/>
      <c r="L345" s="46"/>
      <c r="M345" s="46"/>
      <c r="N345" s="46"/>
      <c r="O345" s="46"/>
      <c r="P345" s="46"/>
    </row>
    <row r="346" spans="1:16" ht="18.75" x14ac:dyDescent="0.25">
      <c r="A346" s="227"/>
      <c r="B346" s="41"/>
      <c r="C346" s="228"/>
      <c r="D346" s="155"/>
      <c r="E346" s="155"/>
      <c r="F346" s="159" t="s">
        <v>134</v>
      </c>
      <c r="G346" s="43"/>
      <c r="H346" s="347" t="s">
        <v>135</v>
      </c>
      <c r="I346" s="169">
        <f ca="1">IFERROR(__xludf.DUMMYFUNCTION("IMPORTRANGE(""https://docs.google.com/spreadsheets/d/1eHaY18a8A9IcSdp1K8H6x8fbOy06t2VsZHhMHf-1x7Y/edit?usp=sharing"",""แผน!EL26"")"),5)</f>
        <v>5</v>
      </c>
      <c r="J346" s="169">
        <f ca="1">IFERROR(__xludf.DUMMYFUNCTION("IMPORTRANGE(""https://docs.google.com/spreadsheets/d/1awYsYK3VOup2i3Pq_Yjnu8DRu_mYwSBnCR2QPthd0rU/edit?usp=sharing"",""ศูนย์รวม!E26"")"),1)</f>
        <v>1</v>
      </c>
      <c r="K346" s="47">
        <f ca="1">IF(I346&gt;0,J346*100/I346,0)</f>
        <v>20</v>
      </c>
      <c r="L346" s="46"/>
      <c r="M346" s="46"/>
      <c r="N346" s="46"/>
      <c r="O346" s="46"/>
      <c r="P346" s="46"/>
    </row>
    <row r="347" spans="1:16" ht="18.75" x14ac:dyDescent="0.25">
      <c r="A347" s="227"/>
      <c r="B347" s="41"/>
      <c r="C347" s="228"/>
      <c r="D347" s="155"/>
      <c r="E347" s="155"/>
      <c r="F347" s="159" t="s">
        <v>136</v>
      </c>
      <c r="G347" s="43"/>
      <c r="H347" s="347" t="s">
        <v>33</v>
      </c>
      <c r="I347" s="45"/>
      <c r="J347" s="169">
        <f ca="1">IFERROR(__xludf.DUMMYFUNCTION("IMPORTRANGE(""https://docs.google.com/spreadsheets/d/1awYsYK3VOup2i3Pq_Yjnu8DRu_mYwSBnCR2QPthd0rU/edit?usp=sharing"",""ศูนย์ยกเว้นโฉนด!F26"")"),0)</f>
        <v>0</v>
      </c>
      <c r="K347" s="46"/>
      <c r="L347" s="46"/>
      <c r="M347" s="46"/>
      <c r="N347" s="46"/>
      <c r="O347" s="46"/>
      <c r="P347" s="46"/>
    </row>
    <row r="348" spans="1:16" ht="18.75" x14ac:dyDescent="0.25">
      <c r="A348" s="227"/>
      <c r="B348" s="41"/>
      <c r="C348" s="228"/>
      <c r="D348" s="155"/>
      <c r="E348" s="159" t="s">
        <v>137</v>
      </c>
      <c r="F348" s="155"/>
      <c r="G348" s="43"/>
      <c r="H348" s="347" t="s">
        <v>33</v>
      </c>
      <c r="I348" s="45"/>
      <c r="J348" s="169">
        <f ca="1">IFERROR(__xludf.DUMMYFUNCTION("IMPORTRANGE(""https://docs.google.com/spreadsheets/d/1awYsYK3VOup2i3Pq_Yjnu8DRu_mYwSBnCR2QPthd0rU/edit?usp=sharing"",""ศูนย์ยกเว้นโฉนด!G26"")"),3)</f>
        <v>3</v>
      </c>
      <c r="K348" s="46"/>
      <c r="L348" s="46"/>
      <c r="M348" s="46"/>
      <c r="N348" s="46"/>
      <c r="O348" s="46"/>
      <c r="P348" s="46"/>
    </row>
    <row r="349" spans="1:16" ht="18.75" x14ac:dyDescent="0.25">
      <c r="A349" s="227"/>
      <c r="B349" s="41"/>
      <c r="C349" s="228"/>
      <c r="D349" s="149"/>
      <c r="E349" s="159" t="s">
        <v>138</v>
      </c>
      <c r="F349" s="155"/>
      <c r="G349" s="43"/>
      <c r="H349" s="347" t="s">
        <v>33</v>
      </c>
      <c r="I349" s="45"/>
      <c r="J349" s="169">
        <f ca="1">IFERROR(__xludf.DUMMYFUNCTION("IMPORTRANGE(""https://docs.google.com/spreadsheets/d/1awYsYK3VOup2i3Pq_Yjnu8DRu_mYwSBnCR2QPthd0rU/edit?usp=sharing"",""ศูนย์ยกเว้นโฉนด!H26"")"),0)</f>
        <v>0</v>
      </c>
      <c r="K349" s="46"/>
      <c r="L349" s="46"/>
      <c r="M349" s="46"/>
      <c r="N349" s="46"/>
      <c r="O349" s="46"/>
      <c r="P349" s="46"/>
    </row>
    <row r="350" spans="1:16" ht="16.5" x14ac:dyDescent="0.25">
      <c r="A350" s="228"/>
      <c r="B350" s="41"/>
      <c r="C350" s="228"/>
      <c r="D350" s="34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1"/>
      <c r="F350" s="41"/>
      <c r="G350" s="43"/>
      <c r="H350" s="346"/>
      <c r="I350" s="45"/>
      <c r="J350" s="45"/>
      <c r="K350" s="46"/>
      <c r="L350" s="46"/>
      <c r="M350" s="46"/>
      <c r="N350" s="46"/>
      <c r="O350" s="46"/>
      <c r="P350" s="46"/>
    </row>
    <row r="351" spans="1:16" ht="19.5" x14ac:dyDescent="0.3">
      <c r="A351" s="233"/>
      <c r="B351" s="236"/>
      <c r="C351" s="234"/>
      <c r="D351" s="236"/>
      <c r="E351" s="396" t="s">
        <v>139</v>
      </c>
      <c r="F351" s="236"/>
      <c r="G351" s="237"/>
      <c r="H351" s="238" t="s">
        <v>33</v>
      </c>
      <c r="I351" s="239">
        <v>0</v>
      </c>
      <c r="J351" s="239">
        <f ca="1">J352+J353</f>
        <v>1581</v>
      </c>
      <c r="K351" s="240">
        <v>0</v>
      </c>
      <c r="L351" s="241"/>
      <c r="M351" s="241"/>
      <c r="N351" s="241"/>
      <c r="O351" s="241"/>
      <c r="P351" s="241"/>
    </row>
    <row r="352" spans="1:16" ht="18.75" x14ac:dyDescent="0.25">
      <c r="A352" s="228"/>
      <c r="B352" s="41"/>
      <c r="C352" s="228"/>
      <c r="D352" s="155"/>
      <c r="E352" s="159" t="s">
        <v>140</v>
      </c>
      <c r="F352" s="41"/>
      <c r="G352" s="43"/>
      <c r="H352" s="142" t="s">
        <v>33</v>
      </c>
      <c r="I352" s="45"/>
      <c r="J352" s="169">
        <f ca="1">IFERROR(__xludf.DUMMYFUNCTION("IMPORTRANGE(""https://docs.google.com/spreadsheets/d/1awYsYK3VOup2i3Pq_Yjnu8DRu_mYwSBnCR2QPthd0rU/edit?usp=sharing"",""โฉนดM3!G26"")"),576)</f>
        <v>576</v>
      </c>
      <c r="K352" s="46"/>
      <c r="L352" s="46"/>
      <c r="M352" s="46"/>
      <c r="N352" s="46"/>
      <c r="O352" s="46"/>
      <c r="P352" s="46"/>
    </row>
    <row r="353" spans="1:16" ht="18.75" x14ac:dyDescent="0.25">
      <c r="A353" s="228"/>
      <c r="B353" s="41"/>
      <c r="C353" s="228"/>
      <c r="D353" s="155"/>
      <c r="E353" s="159" t="s">
        <v>141</v>
      </c>
      <c r="F353" s="41"/>
      <c r="G353" s="43"/>
      <c r="H353" s="142" t="s">
        <v>33</v>
      </c>
      <c r="I353" s="45"/>
      <c r="J353" s="169">
        <f ca="1">IFERROR(__xludf.DUMMYFUNCTION("IMPORTRANGE(""https://docs.google.com/spreadsheets/d/1awYsYK3VOup2i3Pq_Yjnu8DRu_mYwSBnCR2QPthd0rU/edit?usp=sharing"",""โฉนดM3!H26"")"),1005)</f>
        <v>1005</v>
      </c>
      <c r="K353" s="46"/>
      <c r="L353" s="46"/>
      <c r="M353" s="46"/>
      <c r="N353" s="46"/>
      <c r="O353" s="46"/>
      <c r="P353" s="46"/>
    </row>
    <row r="354" spans="1:16" ht="16.5" x14ac:dyDescent="0.25">
      <c r="A354" s="228"/>
      <c r="B354" s="41"/>
      <c r="C354" s="228"/>
      <c r="D354" s="34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1"/>
      <c r="F354" s="41"/>
      <c r="G354" s="43"/>
      <c r="H354" s="346"/>
      <c r="I354" s="45"/>
      <c r="J354" s="45"/>
      <c r="K354" s="46"/>
      <c r="L354" s="46"/>
      <c r="M354" s="46"/>
      <c r="N354" s="46"/>
      <c r="O354" s="46"/>
      <c r="P354" s="46"/>
    </row>
    <row r="355" spans="1:16" ht="19.5" x14ac:dyDescent="0.3">
      <c r="A355" s="323"/>
      <c r="B355" s="324" t="s">
        <v>142</v>
      </c>
      <c r="C355" s="333"/>
      <c r="D355" s="325"/>
      <c r="E355" s="325"/>
      <c r="F355" s="325"/>
      <c r="G355" s="326"/>
      <c r="H355" s="326"/>
      <c r="I355" s="350"/>
      <c r="J355" s="350"/>
      <c r="K355" s="330"/>
      <c r="L355" s="330"/>
      <c r="M355" s="330"/>
      <c r="N355" s="330"/>
      <c r="O355" s="330"/>
      <c r="P355" s="330"/>
    </row>
    <row r="356" spans="1:16" ht="19.5" x14ac:dyDescent="0.3">
      <c r="A356" s="136"/>
      <c r="B356" s="41"/>
      <c r="C356" s="197" t="s">
        <v>16</v>
      </c>
      <c r="D356" s="397" t="s">
        <v>17</v>
      </c>
      <c r="E356" s="41"/>
      <c r="F356" s="41"/>
      <c r="G356" s="43"/>
      <c r="H356" s="139" t="s">
        <v>12</v>
      </c>
      <c r="I356" s="45"/>
      <c r="J356" s="45"/>
      <c r="K356" s="46"/>
      <c r="L356" s="140">
        <f ca="1">L357+L358</f>
        <v>568695</v>
      </c>
      <c r="M356" s="140">
        <f ca="1">M357+M358</f>
        <v>490095</v>
      </c>
      <c r="N356" s="140">
        <f ca="1">N357+N358</f>
        <v>82196.679999999993</v>
      </c>
      <c r="O356" s="140">
        <f ca="1">IF(L356&gt;0,N356*100/L356,0)</f>
        <v>14.45356122350293</v>
      </c>
      <c r="P356" s="140">
        <f ca="1">IF(M356&gt;0,N356*100/M356,0)</f>
        <v>16.771581020006323</v>
      </c>
    </row>
    <row r="357" spans="1:16" ht="18.75" hidden="1" x14ac:dyDescent="0.25">
      <c r="A357" s="136"/>
      <c r="B357" s="41"/>
      <c r="C357" s="41"/>
      <c r="D357" s="41"/>
      <c r="E357" s="279" t="s">
        <v>18</v>
      </c>
      <c r="F357" s="41"/>
      <c r="G357" s="43"/>
      <c r="H357" s="141" t="s">
        <v>12</v>
      </c>
      <c r="I357" s="45"/>
      <c r="J357" s="45"/>
      <c r="K357" s="46"/>
      <c r="L357" s="50">
        <f>L360+L363</f>
        <v>0</v>
      </c>
      <c r="M357" s="50">
        <f>M360+M363</f>
        <v>0</v>
      </c>
      <c r="N357" s="50">
        <f>N360+N363</f>
        <v>0</v>
      </c>
      <c r="O357" s="50">
        <f>IF(L357&gt;0,N357*100/L357,0)</f>
        <v>0</v>
      </c>
      <c r="P357" s="50">
        <f>IF(M357&gt;0,N357*100/M357,0)</f>
        <v>0</v>
      </c>
    </row>
    <row r="358" spans="1:16" ht="18.75" x14ac:dyDescent="0.25">
      <c r="A358" s="136"/>
      <c r="B358" s="41"/>
      <c r="C358" s="41"/>
      <c r="D358" s="41"/>
      <c r="E358" s="254" t="s">
        <v>19</v>
      </c>
      <c r="F358" s="41"/>
      <c r="G358" s="43"/>
      <c r="H358" s="142" t="s">
        <v>12</v>
      </c>
      <c r="I358" s="45"/>
      <c r="J358" s="45"/>
      <c r="K358" s="46"/>
      <c r="L358" s="47">
        <f ca="1">L361+L364</f>
        <v>568695</v>
      </c>
      <c r="M358" s="47">
        <f ca="1">M361+M364</f>
        <v>490095</v>
      </c>
      <c r="N358" s="47">
        <f ca="1">N361+N364</f>
        <v>82196.679999999993</v>
      </c>
      <c r="O358" s="47">
        <f ca="1">IF(L358&gt;0,N358*100/L358,0)</f>
        <v>14.45356122350293</v>
      </c>
      <c r="P358" s="47">
        <f ca="1">IF(M358&gt;0,N358*100/M358,0)</f>
        <v>16.771581020006323</v>
      </c>
    </row>
    <row r="359" spans="1:16" ht="18.75" x14ac:dyDescent="0.25">
      <c r="A359" s="136"/>
      <c r="B359" s="41"/>
      <c r="C359" s="41"/>
      <c r="D359" s="42" t="s">
        <v>20</v>
      </c>
      <c r="E359" s="41"/>
      <c r="F359" s="41"/>
      <c r="G359" s="43"/>
      <c r="H359" s="143" t="s">
        <v>12</v>
      </c>
      <c r="I359" s="144"/>
      <c r="J359" s="144"/>
      <c r="K359" s="145"/>
      <c r="L359" s="47">
        <f ca="1">L360+L361</f>
        <v>568695</v>
      </c>
      <c r="M359" s="47">
        <f ca="1">M360+M361</f>
        <v>490095</v>
      </c>
      <c r="N359" s="47">
        <f ca="1">N360+N361</f>
        <v>82196.679999999993</v>
      </c>
      <c r="O359" s="47">
        <f ca="1">IF(L359&gt;0,N359*100/L359,0)</f>
        <v>14.45356122350293</v>
      </c>
      <c r="P359" s="47">
        <f ca="1">IF(M359&gt;0,N359*100/M359,0)</f>
        <v>16.771581020006323</v>
      </c>
    </row>
    <row r="360" spans="1:16" ht="18.75" hidden="1" x14ac:dyDescent="0.25">
      <c r="A360" s="136"/>
      <c r="B360" s="41"/>
      <c r="C360" s="41"/>
      <c r="D360" s="41"/>
      <c r="E360" s="279" t="s">
        <v>34</v>
      </c>
      <c r="F360" s="41"/>
      <c r="G360" s="43"/>
      <c r="H360" s="146" t="s">
        <v>12</v>
      </c>
      <c r="I360" s="144"/>
      <c r="J360" s="144"/>
      <c r="K360" s="145"/>
      <c r="L360" s="50">
        <v>0</v>
      </c>
      <c r="M360" s="50">
        <v>0</v>
      </c>
      <c r="N360" s="50">
        <v>0</v>
      </c>
      <c r="O360" s="50">
        <f>IF(L360&gt;0,N360*100/L360,0)</f>
        <v>0</v>
      </c>
      <c r="P360" s="50">
        <f>IF(M360&gt;0,N360*100/M360,0)</f>
        <v>0</v>
      </c>
    </row>
    <row r="361" spans="1:16" ht="18.75" x14ac:dyDescent="0.25">
      <c r="A361" s="136"/>
      <c r="B361" s="41"/>
      <c r="C361" s="41"/>
      <c r="D361" s="41"/>
      <c r="E361" s="254" t="s">
        <v>35</v>
      </c>
      <c r="F361" s="41"/>
      <c r="G361" s="43"/>
      <c r="H361" s="143" t="s">
        <v>12</v>
      </c>
      <c r="I361" s="144"/>
      <c r="J361" s="144"/>
      <c r="K361" s="145"/>
      <c r="L361" s="47">
        <f ca="1">IFERROR(__xludf.DUMMYFUNCTION("IMPORTRANGE(""https://docs.google.com/spreadsheets/d/1-uDff_7J0KD5mKrp0Vvzr7lt3OU09vwQwhkpOPPYv2Y/edit?usp=sharing"",""งบพรบ!FC26"")"),568695)</f>
        <v>568695</v>
      </c>
      <c r="M361" s="47">
        <f ca="1">IFERROR(__xludf.DUMMYFUNCTION("IMPORTRANGE(""https://docs.google.com/spreadsheets/d/1-uDff_7J0KD5mKrp0Vvzr7lt3OU09vwQwhkpOPPYv2Y/edit?usp=sharing"",""งบพรบ!FH26"")"),490095)</f>
        <v>490095</v>
      </c>
      <c r="N361" s="47">
        <f ca="1">IFERROR(__xludf.DUMMYFUNCTION("IMPORTRANGE(""https://docs.google.com/spreadsheets/d/1-uDff_7J0KD5mKrp0Vvzr7lt3OU09vwQwhkpOPPYv2Y/edit?usp=sharing"",""งบพรบ!FJ26"")"),82196.68)</f>
        <v>82196.679999999993</v>
      </c>
      <c r="O361" s="47">
        <f ca="1">IF(L361&gt;0,N361*100/L361,0)</f>
        <v>14.45356122350293</v>
      </c>
      <c r="P361" s="47">
        <f ca="1">IF(M361&gt;0,N361*100/M361,0)</f>
        <v>16.771581020006323</v>
      </c>
    </row>
    <row r="362" spans="1:16" ht="18.75" x14ac:dyDescent="0.25">
      <c r="A362" s="136"/>
      <c r="B362" s="41"/>
      <c r="C362" s="41"/>
      <c r="D362" s="42" t="s">
        <v>21</v>
      </c>
      <c r="E362" s="41"/>
      <c r="F362" s="41"/>
      <c r="G362" s="43"/>
      <c r="H362" s="147" t="s">
        <v>12</v>
      </c>
      <c r="I362" s="144"/>
      <c r="J362" s="144"/>
      <c r="K362" s="145"/>
      <c r="L362" s="47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</row>
    <row r="363" spans="1:16" ht="18.75" hidden="1" x14ac:dyDescent="0.25">
      <c r="A363" s="136"/>
      <c r="B363" s="41"/>
      <c r="C363" s="41"/>
      <c r="D363" s="41"/>
      <c r="E363" s="279" t="s">
        <v>18</v>
      </c>
      <c r="F363" s="41"/>
      <c r="G363" s="43"/>
      <c r="H363" s="146" t="s">
        <v>12</v>
      </c>
      <c r="I363" s="144"/>
      <c r="J363" s="144"/>
      <c r="K363" s="145"/>
      <c r="L363" s="50">
        <v>0</v>
      </c>
      <c r="M363" s="50">
        <v>0</v>
      </c>
      <c r="N363" s="50">
        <v>0</v>
      </c>
      <c r="O363" s="50">
        <f>IF(L363&gt;0,N363*100/L363,0)</f>
        <v>0</v>
      </c>
      <c r="P363" s="50">
        <f>IF(M363&gt;0,N363*100/M363,0)</f>
        <v>0</v>
      </c>
    </row>
    <row r="364" spans="1:16" ht="18.75" x14ac:dyDescent="0.25">
      <c r="A364" s="136"/>
      <c r="B364" s="41"/>
      <c r="C364" s="41"/>
      <c r="D364" s="41"/>
      <c r="E364" s="254" t="s">
        <v>19</v>
      </c>
      <c r="F364" s="41"/>
      <c r="G364" s="43"/>
      <c r="H364" s="147" t="s">
        <v>12</v>
      </c>
      <c r="I364" s="144"/>
      <c r="J364" s="144"/>
      <c r="K364" s="145"/>
      <c r="L364" s="47">
        <f ca="1">IFERROR(__xludf.DUMMYFUNCTION("IMPORTRANGE(""https://docs.google.com/spreadsheets/d/1-uDff_7J0KD5mKrp0Vvzr7lt3OU09vwQwhkpOPPYv2Y/edit?usp=sharing"",""งบพรบ!FF26"")"),0)</f>
        <v>0</v>
      </c>
      <c r="M364" s="47">
        <f ca="1">IFERROR(__xludf.DUMMYFUNCTION("IMPORTRANGE(""https://docs.google.com/spreadsheets/d/1-uDff_7J0KD5mKrp0Vvzr7lt3OU09vwQwhkpOPPYv2Y/edit?usp=sharing"",""งบพรบ!FI26"")"),0)</f>
        <v>0</v>
      </c>
      <c r="N364" s="47">
        <f ca="1">IFERROR(__xludf.DUMMYFUNCTION("IMPORTRANGE(""https://docs.google.com/spreadsheets/d/1-uDff_7J0KD5mKrp0Vvzr7lt3OU09vwQwhkpOPPYv2Y/edit?usp=sharing"",""งบพรบ!FK26"")"),0)</f>
        <v>0</v>
      </c>
      <c r="O364" s="47">
        <f ca="1">IF(L364&gt;0,N364*100/L364,0)</f>
        <v>0</v>
      </c>
      <c r="P364" s="47">
        <f ca="1">IF(M364&gt;0,N364*100/M364,0)</f>
        <v>0</v>
      </c>
    </row>
    <row r="365" spans="1:16" ht="19.5" x14ac:dyDescent="0.3">
      <c r="A365" s="233"/>
      <c r="B365" s="234"/>
      <c r="C365" s="236"/>
      <c r="D365" s="396" t="s">
        <v>143</v>
      </c>
      <c r="E365" s="236"/>
      <c r="F365" s="236"/>
      <c r="G365" s="237"/>
      <c r="H365" s="245" t="s">
        <v>33</v>
      </c>
      <c r="I365" s="239">
        <f ca="1">I371</f>
        <v>303</v>
      </c>
      <c r="J365" s="239">
        <f ca="1">J371</f>
        <v>19</v>
      </c>
      <c r="K365" s="240">
        <f ca="1">IF(I365&gt;0,J365*100/I365,0)</f>
        <v>6.2706270627062706</v>
      </c>
      <c r="L365" s="241"/>
      <c r="M365" s="241"/>
      <c r="N365" s="241"/>
      <c r="O365" s="241"/>
      <c r="P365" s="241"/>
    </row>
    <row r="366" spans="1:16" ht="19.5" x14ac:dyDescent="0.3">
      <c r="A366" s="148"/>
      <c r="B366" s="149"/>
      <c r="C366" s="197" t="s">
        <v>16</v>
      </c>
      <c r="D366" s="395" t="s">
        <v>36</v>
      </c>
      <c r="E366" s="151"/>
      <c r="F366" s="151"/>
      <c r="G366" s="152"/>
      <c r="H366" s="153"/>
      <c r="I366" s="45"/>
      <c r="J366" s="45"/>
      <c r="K366" s="46"/>
      <c r="L366" s="145"/>
      <c r="M366" s="145"/>
      <c r="N366" s="145"/>
      <c r="O366" s="145"/>
      <c r="P366" s="145"/>
    </row>
    <row r="367" spans="1:16" ht="18.75" x14ac:dyDescent="0.25">
      <c r="A367" s="148"/>
      <c r="B367" s="155"/>
      <c r="C367" s="149"/>
      <c r="D367" s="155"/>
      <c r="E367" s="154" t="s">
        <v>144</v>
      </c>
      <c r="F367" s="155"/>
      <c r="G367" s="153"/>
      <c r="H367" s="164" t="s">
        <v>33</v>
      </c>
      <c r="I367" s="169">
        <v>0</v>
      </c>
      <c r="J367" s="169">
        <f ca="1">IFERROR(__xludf.DUMMYFUNCTION("IMPORTRANGE(""https://docs.google.com/spreadsheets/d/1tdoBKaGub7dwA3U6UFTqxio9LNnvDCQjHKmttSEBsFQ/edit?usp=sharing"",""จัดที่ดิน!AB26"")"),47)</f>
        <v>47</v>
      </c>
      <c r="K367" s="47">
        <f>IF(I367&gt;0,J367*100/I367,0)</f>
        <v>0</v>
      </c>
      <c r="L367" s="145"/>
      <c r="M367" s="145"/>
      <c r="N367" s="145"/>
      <c r="O367" s="145"/>
      <c r="P367" s="145"/>
    </row>
    <row r="368" spans="1:16" ht="18.75" x14ac:dyDescent="0.25">
      <c r="A368" s="148"/>
      <c r="B368" s="155"/>
      <c r="C368" s="149"/>
      <c r="D368" s="155"/>
      <c r="E368" s="155"/>
      <c r="F368" s="155"/>
      <c r="G368" s="153"/>
      <c r="H368" s="164" t="s">
        <v>44</v>
      </c>
      <c r="I368" s="169">
        <f ca="1">IFERROR(__xludf.DUMMYFUNCTION("IMPORTRANGE(""https://docs.google.com/spreadsheets/d/1eHaY18a8A9IcSdp1K8H6x8fbOy06t2VsZHhMHf-1x7Y/edit?usp=sharing"",""แผน!EW26"")"),2545)</f>
        <v>2545</v>
      </c>
      <c r="J368" s="351">
        <f ca="1">IFERROR(__xludf.DUMMYFUNCTION("IMPORTRANGE(""https://docs.google.com/spreadsheets/d/1tdoBKaGub7dwA3U6UFTqxio9LNnvDCQjHKmttSEBsFQ/edit?usp=sharing"",""จัดที่ดิน!AC26"")"),80.62)</f>
        <v>80.62</v>
      </c>
      <c r="K368" s="47">
        <f ca="1">IF(I368&gt;0,J368*100/I368,0)</f>
        <v>3.1677799607072692</v>
      </c>
      <c r="L368" s="145"/>
      <c r="M368" s="145"/>
      <c r="N368" s="145"/>
      <c r="O368" s="145"/>
      <c r="P368" s="145"/>
    </row>
    <row r="369" spans="1:16" ht="18.75" x14ac:dyDescent="0.25">
      <c r="A369" s="148"/>
      <c r="B369" s="155"/>
      <c r="C369" s="149"/>
      <c r="D369" s="155"/>
      <c r="E369" s="154" t="s">
        <v>145</v>
      </c>
      <c r="F369" s="155"/>
      <c r="G369" s="153"/>
      <c r="H369" s="251" t="s">
        <v>33</v>
      </c>
      <c r="I369" s="169">
        <f ca="1">IFERROR(__xludf.DUMMYFUNCTION("IMPORTRANGE(""https://docs.google.com/spreadsheets/d/1eHaY18a8A9IcSdp1K8H6x8fbOy06t2VsZHhMHf-1x7Y/edit?usp=sharing"",""แผน!EX26"")"),446)</f>
        <v>446</v>
      </c>
      <c r="J369" s="169">
        <f ca="1">IFERROR(__xludf.DUMMYFUNCTION("IMPORTRANGE(""https://docs.google.com/spreadsheets/d/1tdoBKaGub7dwA3U6UFTqxio9LNnvDCQjHKmttSEBsFQ/edit?usp=sharing"",""จัดที่ดิน!AD26"")"),60)</f>
        <v>60</v>
      </c>
      <c r="K369" s="47">
        <f ca="1">IF(I369&gt;0,J369*100/I369,0)</f>
        <v>13.452914798206278</v>
      </c>
      <c r="L369" s="145"/>
      <c r="M369" s="145"/>
      <c r="N369" s="145"/>
      <c r="O369" s="145"/>
      <c r="P369" s="145"/>
    </row>
    <row r="370" spans="1:16" ht="18.75" x14ac:dyDescent="0.25">
      <c r="A370" s="148"/>
      <c r="B370" s="155"/>
      <c r="C370" s="149"/>
      <c r="D370" s="155"/>
      <c r="E370" s="155"/>
      <c r="F370" s="155"/>
      <c r="G370" s="153"/>
      <c r="H370" s="251" t="s">
        <v>44</v>
      </c>
      <c r="I370" s="169">
        <v>0</v>
      </c>
      <c r="J370" s="351">
        <f ca="1">IFERROR(__xludf.DUMMYFUNCTION("IMPORTRANGE(""https://docs.google.com/spreadsheets/d/1tdoBKaGub7dwA3U6UFTqxio9LNnvDCQjHKmttSEBsFQ/edit?usp=sharing"",""จัดที่ดิน!AE26"")"),168.35)</f>
        <v>168.35</v>
      </c>
      <c r="K370" s="47">
        <f>IF(I370&gt;0,J370*100/I370,0)</f>
        <v>0</v>
      </c>
      <c r="L370" s="145"/>
      <c r="M370" s="145"/>
      <c r="N370" s="145"/>
      <c r="O370" s="145"/>
      <c r="P370" s="145"/>
    </row>
    <row r="371" spans="1:16" ht="18.75" x14ac:dyDescent="0.25">
      <c r="A371" s="148"/>
      <c r="B371" s="155"/>
      <c r="C371" s="149"/>
      <c r="D371" s="155"/>
      <c r="E371" s="154" t="s">
        <v>146</v>
      </c>
      <c r="F371" s="155"/>
      <c r="G371" s="153"/>
      <c r="H371" s="251" t="s">
        <v>33</v>
      </c>
      <c r="I371" s="169">
        <f ca="1">IFERROR(__xludf.DUMMYFUNCTION("IMPORTRANGE(""https://docs.google.com/spreadsheets/d/1eHaY18a8A9IcSdp1K8H6x8fbOy06t2VsZHhMHf-1x7Y/edit?usp=sharing"",""แผน!EY26"")"),303)</f>
        <v>303</v>
      </c>
      <c r="J371" s="169">
        <f ca="1">IFERROR(__xludf.DUMMYFUNCTION("IMPORTRANGE(""https://docs.google.com/spreadsheets/d/1tdoBKaGub7dwA3U6UFTqxio9LNnvDCQjHKmttSEBsFQ/edit?usp=sharing"",""จัดที่ดิน!AF26"")"),19)</f>
        <v>19</v>
      </c>
      <c r="K371" s="47">
        <f ca="1">IF(I371&gt;0,J371*100/I371,0)</f>
        <v>6.2706270627062706</v>
      </c>
      <c r="L371" s="145"/>
      <c r="M371" s="145"/>
      <c r="N371" s="145"/>
      <c r="O371" s="145"/>
      <c r="P371" s="145"/>
    </row>
    <row r="372" spans="1:16" ht="18.75" x14ac:dyDescent="0.25">
      <c r="A372" s="148"/>
      <c r="B372" s="155"/>
      <c r="C372" s="149"/>
      <c r="D372" s="155"/>
      <c r="E372" s="155"/>
      <c r="F372" s="155"/>
      <c r="G372" s="153"/>
      <c r="H372" s="251" t="s">
        <v>44</v>
      </c>
      <c r="I372" s="169">
        <v>0</v>
      </c>
      <c r="J372" s="351">
        <f ca="1">IFERROR(__xludf.DUMMYFUNCTION("IMPORTRANGE(""https://docs.google.com/spreadsheets/d/1tdoBKaGub7dwA3U6UFTqxio9LNnvDCQjHKmttSEBsFQ/edit?usp=sharing"",""จัดที่ดิน!AG26"")"),114.59)</f>
        <v>114.59</v>
      </c>
      <c r="K372" s="47">
        <f>IF(I372&gt;0,J372*100/I372,0)</f>
        <v>0</v>
      </c>
      <c r="L372" s="145"/>
      <c r="M372" s="145"/>
      <c r="N372" s="145"/>
      <c r="O372" s="145"/>
      <c r="P372" s="145"/>
    </row>
    <row r="373" spans="1:16" ht="16.5" x14ac:dyDescent="0.25">
      <c r="A373" s="2"/>
      <c r="B373" s="1"/>
      <c r="C373" s="2"/>
      <c r="D373" s="352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4"/>
      <c r="H373" s="54"/>
      <c r="I373" s="56"/>
      <c r="J373" s="56"/>
      <c r="K373" s="57"/>
      <c r="L373" s="57"/>
      <c r="M373" s="57"/>
      <c r="N373" s="57"/>
      <c r="O373" s="57"/>
      <c r="P373" s="57"/>
    </row>
    <row r="374" spans="1:16" ht="19.5" hidden="1" x14ac:dyDescent="0.3">
      <c r="A374" s="353" t="s">
        <v>147</v>
      </c>
      <c r="B374" s="354"/>
      <c r="C374" s="354"/>
      <c r="D374" s="354"/>
      <c r="E374" s="355"/>
      <c r="F374" s="355"/>
      <c r="G374" s="355"/>
      <c r="H374" s="355"/>
      <c r="I374" s="356"/>
      <c r="J374" s="356"/>
      <c r="K374" s="357"/>
      <c r="L374" s="357"/>
      <c r="M374" s="357"/>
      <c r="N374" s="357"/>
      <c r="O374" s="357"/>
      <c r="P374" s="358"/>
    </row>
    <row r="375" spans="1:16" ht="19.5" hidden="1" x14ac:dyDescent="0.3">
      <c r="A375" s="359" t="s">
        <v>148</v>
      </c>
      <c r="B375" s="360"/>
      <c r="C375" s="360"/>
      <c r="D375" s="361"/>
      <c r="E375" s="360"/>
      <c r="F375" s="360"/>
      <c r="G375" s="360"/>
      <c r="H375" s="362"/>
      <c r="I375" s="363"/>
      <c r="J375" s="363"/>
      <c r="K375" s="364"/>
      <c r="L375" s="364"/>
      <c r="M375" s="364"/>
      <c r="N375" s="364"/>
      <c r="O375" s="364"/>
      <c r="P375" s="364"/>
    </row>
    <row r="376" spans="1:16" ht="19.5" hidden="1" x14ac:dyDescent="0.3">
      <c r="A376" s="365"/>
      <c r="B376" s="366" t="s">
        <v>149</v>
      </c>
      <c r="C376" s="367"/>
      <c r="D376" s="368"/>
      <c r="E376" s="368"/>
      <c r="F376" s="368"/>
      <c r="G376" s="369"/>
      <c r="H376" s="370" t="s">
        <v>54</v>
      </c>
      <c r="I376" s="371">
        <f>I388</f>
        <v>0</v>
      </c>
      <c r="J376" s="371">
        <f>J388</f>
        <v>0</v>
      </c>
      <c r="K376" s="372">
        <f>IF(I376&gt;0,J376*100/I376,0)</f>
        <v>0</v>
      </c>
      <c r="L376" s="373"/>
      <c r="M376" s="373"/>
      <c r="N376" s="373"/>
      <c r="O376" s="373"/>
      <c r="P376" s="373"/>
    </row>
    <row r="377" spans="1:16" ht="19.5" hidden="1" x14ac:dyDescent="0.3">
      <c r="A377" s="136"/>
      <c r="B377" s="41"/>
      <c r="C377" s="260" t="s">
        <v>16</v>
      </c>
      <c r="D377" s="261" t="s">
        <v>17</v>
      </c>
      <c r="E377" s="41"/>
      <c r="F377" s="41"/>
      <c r="G377" s="43"/>
      <c r="H377" s="277" t="s">
        <v>12</v>
      </c>
      <c r="I377" s="45"/>
      <c r="J377" s="45"/>
      <c r="K377" s="46"/>
      <c r="L377" s="263">
        <f ca="1">L378+L379</f>
        <v>0</v>
      </c>
      <c r="M377" s="263">
        <f ca="1">M378+M379</f>
        <v>0</v>
      </c>
      <c r="N377" s="263">
        <f ca="1">N378+N379</f>
        <v>0</v>
      </c>
      <c r="O377" s="263">
        <f ca="1">IF(L377&gt;0,N377*100/L377,0)</f>
        <v>0</v>
      </c>
      <c r="P377" s="263">
        <f ca="1">IF(M377&gt;0,N377*100/M377,0)</f>
        <v>0</v>
      </c>
    </row>
    <row r="378" spans="1:16" ht="18.75" hidden="1" x14ac:dyDescent="0.25">
      <c r="A378" s="136"/>
      <c r="B378" s="41"/>
      <c r="C378" s="41"/>
      <c r="D378" s="41"/>
      <c r="E378" s="279" t="s">
        <v>18</v>
      </c>
      <c r="F378" s="41"/>
      <c r="G378" s="43"/>
      <c r="H378" s="141" t="s">
        <v>12</v>
      </c>
      <c r="I378" s="45"/>
      <c r="J378" s="45"/>
      <c r="K378" s="46"/>
      <c r="L378" s="50">
        <f>L381+L384</f>
        <v>0</v>
      </c>
      <c r="M378" s="50">
        <f>M381+M384</f>
        <v>0</v>
      </c>
      <c r="N378" s="50">
        <f>N381+N384</f>
        <v>0</v>
      </c>
      <c r="O378" s="50">
        <f>IF(L378&gt;0,N378*100/L378,0)</f>
        <v>0</v>
      </c>
      <c r="P378" s="50">
        <f>IF(M378&gt;0,N378*100/M378,0)</f>
        <v>0</v>
      </c>
    </row>
    <row r="379" spans="1:16" ht="18.75" hidden="1" x14ac:dyDescent="0.25">
      <c r="A379" s="136"/>
      <c r="B379" s="41"/>
      <c r="C379" s="41"/>
      <c r="D379" s="41"/>
      <c r="E379" s="279" t="s">
        <v>19</v>
      </c>
      <c r="F379" s="41"/>
      <c r="G379" s="43"/>
      <c r="H379" s="141" t="s">
        <v>12</v>
      </c>
      <c r="I379" s="45"/>
      <c r="J379" s="45"/>
      <c r="K379" s="46"/>
      <c r="L379" s="50">
        <f ca="1">L382+L385</f>
        <v>0</v>
      </c>
      <c r="M379" s="50">
        <f ca="1">M382+M385</f>
        <v>0</v>
      </c>
      <c r="N379" s="50">
        <f ca="1">N382+N385</f>
        <v>0</v>
      </c>
      <c r="O379" s="50">
        <f ca="1">IF(L379&gt;0,N379*100/L379,0)</f>
        <v>0</v>
      </c>
      <c r="P379" s="50">
        <f ca="1">IF(M379&gt;0,N379*100/M379,0)</f>
        <v>0</v>
      </c>
    </row>
    <row r="380" spans="1:16" ht="18.75" hidden="1" x14ac:dyDescent="0.25">
      <c r="A380" s="136"/>
      <c r="B380" s="41"/>
      <c r="C380" s="41"/>
      <c r="D380" s="278" t="s">
        <v>20</v>
      </c>
      <c r="E380" s="41"/>
      <c r="F380" s="41"/>
      <c r="G380" s="43"/>
      <c r="H380" s="146" t="s">
        <v>12</v>
      </c>
      <c r="I380" s="144"/>
      <c r="J380" s="144"/>
      <c r="K380" s="145"/>
      <c r="L380" s="50">
        <f ca="1">L381+L382</f>
        <v>0</v>
      </c>
      <c r="M380" s="50">
        <f ca="1">M381+M382</f>
        <v>0</v>
      </c>
      <c r="N380" s="50">
        <f ca="1">N381+N382</f>
        <v>0</v>
      </c>
      <c r="O380" s="50">
        <f ca="1">IF(L380&gt;0,N380*100/L380,0)</f>
        <v>0</v>
      </c>
      <c r="P380" s="50">
        <f ca="1">IF(M380&gt;0,N380*100/M380,0)</f>
        <v>0</v>
      </c>
    </row>
    <row r="381" spans="1:16" ht="18.75" hidden="1" x14ac:dyDescent="0.25">
      <c r="A381" s="136"/>
      <c r="B381" s="41"/>
      <c r="C381" s="41"/>
      <c r="D381" s="41"/>
      <c r="E381" s="279" t="s">
        <v>34</v>
      </c>
      <c r="F381" s="41"/>
      <c r="G381" s="43"/>
      <c r="H381" s="146" t="s">
        <v>12</v>
      </c>
      <c r="I381" s="144"/>
      <c r="J381" s="144"/>
      <c r="K381" s="145"/>
      <c r="L381" s="50">
        <v>0</v>
      </c>
      <c r="M381" s="50">
        <v>0</v>
      </c>
      <c r="N381" s="50">
        <v>0</v>
      </c>
      <c r="O381" s="50">
        <f>IF(L381&gt;0,N381*100/L381,0)</f>
        <v>0</v>
      </c>
      <c r="P381" s="50">
        <f>IF(M381&gt;0,N381*100/M381,0)</f>
        <v>0</v>
      </c>
    </row>
    <row r="382" spans="1:16" ht="18.75" hidden="1" x14ac:dyDescent="0.25">
      <c r="A382" s="136"/>
      <c r="B382" s="41"/>
      <c r="C382" s="41"/>
      <c r="D382" s="41"/>
      <c r="E382" s="279" t="s">
        <v>35</v>
      </c>
      <c r="F382" s="41"/>
      <c r="G382" s="43"/>
      <c r="H382" s="146" t="s">
        <v>12</v>
      </c>
      <c r="I382" s="144"/>
      <c r="J382" s="144"/>
      <c r="K382" s="145"/>
      <c r="L382" s="50">
        <f ca="1">IFERROR(__xludf.DUMMYFUNCTION("IMPORTRANGE(""https://docs.google.com/spreadsheets/d/1-uDff_7J0KD5mKrp0Vvzr7lt3OU09vwQwhkpOPPYv2Y/edit?usp=sharing"",""งบพรบ!FM26"")"),0)</f>
        <v>0</v>
      </c>
      <c r="M382" s="50">
        <f ca="1">IFERROR(__xludf.DUMMYFUNCTION("IMPORTRANGE(""https://docs.google.com/spreadsheets/d/1-uDff_7J0KD5mKrp0Vvzr7lt3OU09vwQwhkpOPPYv2Y/edit?usp=sharing"",""งบพรบ!FR26"")"),0)</f>
        <v>0</v>
      </c>
      <c r="N382" s="50">
        <f ca="1">IFERROR(__xludf.DUMMYFUNCTION("IMPORTRANGE(""https://docs.google.com/spreadsheets/d/1-uDff_7J0KD5mKrp0Vvzr7lt3OU09vwQwhkpOPPYv2Y/edit?usp=sharing"",""งบพรบ!FT26"")"),0)</f>
        <v>0</v>
      </c>
      <c r="O382" s="50">
        <f ca="1">IF(L382&gt;0,N382*100/L382,0)</f>
        <v>0</v>
      </c>
      <c r="P382" s="50">
        <f ca="1">IF(M382&gt;0,N382*100/M382,0)</f>
        <v>0</v>
      </c>
    </row>
    <row r="383" spans="1:16" ht="18.75" hidden="1" x14ac:dyDescent="0.25">
      <c r="A383" s="136"/>
      <c r="B383" s="41"/>
      <c r="C383" s="41"/>
      <c r="D383" s="278" t="s">
        <v>21</v>
      </c>
      <c r="E383" s="41"/>
      <c r="F383" s="41"/>
      <c r="G383" s="43"/>
      <c r="H383" s="199" t="s">
        <v>12</v>
      </c>
      <c r="I383" s="144"/>
      <c r="J383" s="144"/>
      <c r="K383" s="145"/>
      <c r="L383" s="50">
        <f ca="1">L384+L385</f>
        <v>0</v>
      </c>
      <c r="M383" s="50">
        <f ca="1">M384+M385</f>
        <v>0</v>
      </c>
      <c r="N383" s="50">
        <f ca="1">N384+N385</f>
        <v>0</v>
      </c>
      <c r="O383" s="50">
        <f ca="1">IF(L383&gt;0,N383*100/L383,0)</f>
        <v>0</v>
      </c>
      <c r="P383" s="50">
        <f ca="1">IF(M383&gt;0,N383*100/M383,0)</f>
        <v>0</v>
      </c>
    </row>
    <row r="384" spans="1:16" ht="18.75" hidden="1" x14ac:dyDescent="0.25">
      <c r="A384" s="136"/>
      <c r="B384" s="41"/>
      <c r="C384" s="41"/>
      <c r="D384" s="41"/>
      <c r="E384" s="279" t="s">
        <v>18</v>
      </c>
      <c r="F384" s="41"/>
      <c r="G384" s="43"/>
      <c r="H384" s="146" t="s">
        <v>12</v>
      </c>
      <c r="I384" s="144"/>
      <c r="J384" s="144"/>
      <c r="K384" s="145"/>
      <c r="L384" s="50">
        <v>0</v>
      </c>
      <c r="M384" s="50">
        <v>0</v>
      </c>
      <c r="N384" s="50">
        <v>0</v>
      </c>
      <c r="O384" s="50">
        <f>IF(L384&gt;0,N384*100/L384,0)</f>
        <v>0</v>
      </c>
      <c r="P384" s="50">
        <f>IF(M384&gt;0,N384*100/M384,0)</f>
        <v>0</v>
      </c>
    </row>
    <row r="385" spans="1:16" ht="18.75" hidden="1" x14ac:dyDescent="0.25">
      <c r="A385" s="136"/>
      <c r="B385" s="41"/>
      <c r="C385" s="41"/>
      <c r="D385" s="41"/>
      <c r="E385" s="279" t="s">
        <v>19</v>
      </c>
      <c r="F385" s="41"/>
      <c r="G385" s="43"/>
      <c r="H385" s="199" t="s">
        <v>12</v>
      </c>
      <c r="I385" s="144"/>
      <c r="J385" s="144"/>
      <c r="K385" s="145"/>
      <c r="L385" s="50">
        <f ca="1">IFERROR(__xludf.DUMMYFUNCTION("IMPORTRANGE(""https://docs.google.com/spreadsheets/d/1-uDff_7J0KD5mKrp0Vvzr7lt3OU09vwQwhkpOPPYv2Y/edit?usp=sharing"",""งบพรบ!FP26"")"),0)</f>
        <v>0</v>
      </c>
      <c r="M385" s="50">
        <f ca="1">IFERROR(__xludf.DUMMYFUNCTION("IMPORTRANGE(""https://docs.google.com/spreadsheets/d/1-uDff_7J0KD5mKrp0Vvzr7lt3OU09vwQwhkpOPPYv2Y/edit?usp=sharing"",""งบพรบ!FS26"")"),0)</f>
        <v>0</v>
      </c>
      <c r="N385" s="50">
        <f ca="1">IFERROR(__xludf.DUMMYFUNCTION("IMPORTRANGE(""https://docs.google.com/spreadsheets/d/1-uDff_7J0KD5mKrp0Vvzr7lt3OU09vwQwhkpOPPYv2Y/edit?usp=sharing"",""งบพรบ!FU26"")"),0)</f>
        <v>0</v>
      </c>
      <c r="O385" s="50">
        <f ca="1">IF(L385&gt;0,N385*100/L385,0)</f>
        <v>0</v>
      </c>
      <c r="P385" s="50">
        <f ca="1">IF(M385&gt;0,N385*100/M385,0)</f>
        <v>0</v>
      </c>
    </row>
    <row r="386" spans="1:16" ht="19.5" hidden="1" x14ac:dyDescent="0.3">
      <c r="A386" s="148"/>
      <c r="B386" s="149"/>
      <c r="C386" s="260" t="s">
        <v>16</v>
      </c>
      <c r="D386" s="394" t="s">
        <v>36</v>
      </c>
      <c r="E386" s="151"/>
      <c r="F386" s="151"/>
      <c r="G386" s="152"/>
      <c r="H386" s="153"/>
      <c r="I386" s="144"/>
      <c r="J386" s="45"/>
      <c r="K386" s="46"/>
      <c r="L386" s="46"/>
      <c r="M386" s="46"/>
      <c r="N386" s="46"/>
      <c r="O386" s="145"/>
      <c r="P386" s="145"/>
    </row>
    <row r="387" spans="1:16" ht="18.75" hidden="1" x14ac:dyDescent="0.25">
      <c r="A387" s="227"/>
      <c r="B387" s="41"/>
      <c r="C387" s="228"/>
      <c r="D387" s="267" t="s">
        <v>150</v>
      </c>
      <c r="E387" s="149"/>
      <c r="F387" s="41"/>
      <c r="G387" s="43"/>
      <c r="H387" s="232" t="s">
        <v>9</v>
      </c>
      <c r="I387" s="200">
        <v>0</v>
      </c>
      <c r="J387" s="201">
        <v>0</v>
      </c>
      <c r="K387" s="50">
        <f>IF(I387&gt;0,J387*100/I387,0)</f>
        <v>0</v>
      </c>
      <c r="L387" s="46"/>
      <c r="M387" s="46"/>
      <c r="N387" s="46"/>
      <c r="O387" s="46"/>
      <c r="P387" s="46"/>
    </row>
    <row r="388" spans="1:16" ht="18.75" hidden="1" x14ac:dyDescent="0.25">
      <c r="A388" s="374"/>
      <c r="B388" s="1"/>
      <c r="C388" s="2"/>
      <c r="D388" s="375" t="s">
        <v>151</v>
      </c>
      <c r="E388" s="281"/>
      <c r="F388" s="1"/>
      <c r="G388" s="54"/>
      <c r="H388" s="376" t="s">
        <v>54</v>
      </c>
      <c r="I388" s="205">
        <v>0</v>
      </c>
      <c r="J388" s="206">
        <v>0</v>
      </c>
      <c r="K388" s="207">
        <f>IF(I388&gt;0,J388*100/I388,0)</f>
        <v>0</v>
      </c>
      <c r="L388" s="57"/>
      <c r="M388" s="57"/>
      <c r="N388" s="57"/>
      <c r="O388" s="57"/>
      <c r="P388" s="57"/>
    </row>
    <row r="389" spans="1:16" ht="12.75" x14ac:dyDescent="0.2">
      <c r="A389" s="168"/>
      <c r="B389" s="168"/>
      <c r="C389" s="168"/>
      <c r="D389" s="168"/>
      <c r="E389" s="168"/>
      <c r="F389" s="168"/>
      <c r="G389" s="168"/>
      <c r="H389" s="168"/>
      <c r="I389" s="168"/>
      <c r="J389" s="168"/>
      <c r="K389" s="168"/>
      <c r="L389" s="168"/>
      <c r="M389" s="168"/>
      <c r="N389" s="168"/>
      <c r="O389" s="168"/>
      <c r="P389" s="168"/>
    </row>
    <row r="390" spans="1:16" ht="16.5" x14ac:dyDescent="0.25">
      <c r="A390" s="377" t="s">
        <v>152</v>
      </c>
      <c r="B390" s="168"/>
      <c r="C390" s="168"/>
      <c r="D390" s="168"/>
      <c r="E390" s="168"/>
      <c r="F390" s="168"/>
      <c r="G390" s="168"/>
      <c r="H390" s="168"/>
      <c r="I390" s="168"/>
      <c r="J390" s="168"/>
      <c r="K390" s="168"/>
      <c r="L390" s="168"/>
      <c r="M390" s="168"/>
      <c r="N390" s="168"/>
      <c r="O390" s="168"/>
      <c r="P390" s="168"/>
    </row>
    <row r="391" spans="1:16" ht="16.5" x14ac:dyDescent="0.25">
      <c r="A391" s="377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8"/>
      <c r="C391" s="168"/>
      <c r="D391" s="168"/>
      <c r="E391" s="168"/>
      <c r="F391" s="168"/>
      <c r="G391" s="168"/>
      <c r="H391" s="168"/>
      <c r="I391" s="168"/>
      <c r="J391" s="168"/>
      <c r="K391" s="168"/>
      <c r="L391" s="168"/>
      <c r="M391" s="168"/>
      <c r="N391" s="168"/>
      <c r="O391" s="168"/>
      <c r="P391" s="16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2" orientation="portrait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0D214-749E-446D-95D3-31D202DC22F7}">
  <sheetPr>
    <outlinePr summaryBelow="0" summaryRight="0"/>
  </sheetPr>
  <dimension ref="A1:P391"/>
  <sheetViews>
    <sheetView view="pageBreakPreview" zoomScale="60" zoomScaleNormal="68" workbookViewId="0">
      <pane xSplit="8" ySplit="6" topLeftCell="I7" activePane="bottomRight" state="frozen"/>
      <selection activeCell="P44" sqref="P44"/>
      <selection pane="topRight" activeCell="P44" sqref="P44"/>
      <selection pane="bottomLeft" activeCell="P44" sqref="P44"/>
      <selection pane="bottomRight" activeCell="P44" sqref="P4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3" width="21.5703125" bestFit="1" customWidth="1"/>
    <col min="14" max="14" width="19" bestFit="1" customWidth="1"/>
    <col min="15" max="15" width="17.5703125" customWidth="1"/>
    <col min="16" max="16" width="22.42578125" bestFit="1" customWidth="1"/>
  </cols>
  <sheetData>
    <row r="1" spans="1:16" ht="19.5" x14ac:dyDescent="0.3">
      <c r="A1" s="386" t="s">
        <v>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</row>
    <row r="2" spans="1:16" ht="19.5" x14ac:dyDescent="0.3">
      <c r="A2" s="386" t="s">
        <v>171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</row>
    <row r="3" spans="1:16" ht="19.5" x14ac:dyDescent="0.3">
      <c r="A3" s="386" t="s">
        <v>175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388" t="s">
        <v>2</v>
      </c>
      <c r="B5" s="387"/>
      <c r="C5" s="387"/>
      <c r="D5" s="387"/>
      <c r="E5" s="387"/>
      <c r="F5" s="387"/>
      <c r="G5" s="389"/>
      <c r="H5" s="4" t="s">
        <v>3</v>
      </c>
      <c r="I5" s="391" t="s">
        <v>4</v>
      </c>
      <c r="J5" s="379"/>
      <c r="K5" s="380"/>
      <c r="L5" s="392" t="s">
        <v>5</v>
      </c>
      <c r="M5" s="380"/>
      <c r="N5" s="393" t="s">
        <v>6</v>
      </c>
      <c r="O5" s="379"/>
      <c r="P5" s="380"/>
    </row>
    <row r="6" spans="1:16" ht="19.5" x14ac:dyDescent="0.3">
      <c r="A6" s="390"/>
      <c r="B6" s="379"/>
      <c r="C6" s="379"/>
      <c r="D6" s="379"/>
      <c r="E6" s="379"/>
      <c r="F6" s="379"/>
      <c r="G6" s="380"/>
      <c r="H6" s="5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466" t="s">
        <v>14</v>
      </c>
    </row>
    <row r="7" spans="1:16" ht="12.75" hidden="1" x14ac:dyDescent="0.2">
      <c r="A7" s="381"/>
      <c r="B7" s="379"/>
      <c r="C7" s="379"/>
      <c r="D7" s="379"/>
      <c r="E7" s="379"/>
      <c r="F7" s="379"/>
      <c r="G7" s="380"/>
      <c r="H7" s="12"/>
      <c r="I7" s="13"/>
      <c r="J7" s="13"/>
      <c r="K7" s="14"/>
      <c r="L7" s="14"/>
      <c r="M7" s="14"/>
      <c r="N7" s="14"/>
      <c r="O7" s="14"/>
      <c r="P7" s="14"/>
    </row>
    <row r="8" spans="1:16" ht="12.75" hidden="1" x14ac:dyDescent="0.2">
      <c r="A8" s="15"/>
      <c r="B8" s="16"/>
      <c r="C8" s="16"/>
      <c r="D8" s="16"/>
      <c r="E8" s="16"/>
      <c r="F8" s="16"/>
      <c r="G8" s="17"/>
      <c r="H8" s="17"/>
      <c r="I8" s="18"/>
      <c r="J8" s="18"/>
      <c r="K8" s="19"/>
      <c r="L8" s="19"/>
      <c r="M8" s="19"/>
      <c r="N8" s="19"/>
      <c r="O8" s="19"/>
      <c r="P8" s="19"/>
    </row>
    <row r="9" spans="1:16" ht="12.75" hidden="1" x14ac:dyDescent="0.2">
      <c r="A9" s="15"/>
      <c r="B9" s="16"/>
      <c r="C9" s="16"/>
      <c r="D9" s="16"/>
      <c r="E9" s="16"/>
      <c r="F9" s="16"/>
      <c r="G9" s="17"/>
      <c r="H9" s="17"/>
      <c r="I9" s="18"/>
      <c r="J9" s="18"/>
      <c r="K9" s="19"/>
      <c r="L9" s="19"/>
      <c r="M9" s="19"/>
      <c r="N9" s="19"/>
      <c r="O9" s="19"/>
      <c r="P9" s="19"/>
    </row>
    <row r="10" spans="1:16" ht="12.75" hidden="1" x14ac:dyDescent="0.2">
      <c r="A10" s="15"/>
      <c r="B10" s="16"/>
      <c r="C10" s="16"/>
      <c r="D10" s="16"/>
      <c r="E10" s="16"/>
      <c r="F10" s="16"/>
      <c r="G10" s="17"/>
      <c r="H10" s="17"/>
      <c r="I10" s="18"/>
      <c r="J10" s="18"/>
      <c r="K10" s="19"/>
      <c r="L10" s="19"/>
      <c r="M10" s="19"/>
      <c r="N10" s="19"/>
      <c r="O10" s="19"/>
      <c r="P10" s="19"/>
    </row>
    <row r="11" spans="1:16" ht="12.75" hidden="1" x14ac:dyDescent="0.2">
      <c r="A11" s="15"/>
      <c r="B11" s="16"/>
      <c r="C11" s="16"/>
      <c r="D11" s="16"/>
      <c r="E11" s="16"/>
      <c r="F11" s="16"/>
      <c r="G11" s="17"/>
      <c r="H11" s="17"/>
      <c r="I11" s="18"/>
      <c r="J11" s="18"/>
      <c r="K11" s="19"/>
      <c r="L11" s="19"/>
      <c r="M11" s="19"/>
      <c r="N11" s="19"/>
      <c r="O11" s="19"/>
      <c r="P11" s="19"/>
    </row>
    <row r="12" spans="1:16" ht="12.75" hidden="1" x14ac:dyDescent="0.2">
      <c r="A12" s="15"/>
      <c r="B12" s="16"/>
      <c r="C12" s="16"/>
      <c r="D12" s="16"/>
      <c r="E12" s="16"/>
      <c r="F12" s="16"/>
      <c r="G12" s="17"/>
      <c r="H12" s="17"/>
      <c r="I12" s="18"/>
      <c r="J12" s="18"/>
      <c r="K12" s="19"/>
      <c r="L12" s="19"/>
      <c r="M12" s="19"/>
      <c r="N12" s="19"/>
      <c r="O12" s="19"/>
      <c r="P12" s="19"/>
    </row>
    <row r="13" spans="1:16" ht="12.75" hidden="1" x14ac:dyDescent="0.2">
      <c r="A13" s="15"/>
      <c r="B13" s="16"/>
      <c r="C13" s="16"/>
      <c r="D13" s="16"/>
      <c r="E13" s="16"/>
      <c r="F13" s="16"/>
      <c r="G13" s="17"/>
      <c r="H13" s="17"/>
      <c r="I13" s="18"/>
      <c r="J13" s="18"/>
      <c r="K13" s="19"/>
      <c r="L13" s="19"/>
      <c r="M13" s="19"/>
      <c r="N13" s="19"/>
      <c r="O13" s="19"/>
      <c r="P13" s="19"/>
    </row>
    <row r="14" spans="1:16" ht="12.75" hidden="1" x14ac:dyDescent="0.2">
      <c r="A14" s="15"/>
      <c r="B14" s="16"/>
      <c r="C14" s="16"/>
      <c r="D14" s="16"/>
      <c r="E14" s="16"/>
      <c r="F14" s="16"/>
      <c r="G14" s="17"/>
      <c r="H14" s="17"/>
      <c r="I14" s="18"/>
      <c r="J14" s="18"/>
      <c r="K14" s="19"/>
      <c r="L14" s="19"/>
      <c r="M14" s="19"/>
      <c r="N14" s="19"/>
      <c r="O14" s="19"/>
      <c r="P14" s="19"/>
    </row>
    <row r="15" spans="1:16" ht="12.75" hidden="1" x14ac:dyDescent="0.2">
      <c r="A15" s="15"/>
      <c r="B15" s="16"/>
      <c r="C15" s="16"/>
      <c r="D15" s="16"/>
      <c r="E15" s="16"/>
      <c r="F15" s="16"/>
      <c r="G15" s="17"/>
      <c r="H15" s="17"/>
      <c r="I15" s="18"/>
      <c r="J15" s="18"/>
      <c r="K15" s="19"/>
      <c r="L15" s="19"/>
      <c r="M15" s="19"/>
      <c r="N15" s="19"/>
      <c r="O15" s="19"/>
      <c r="P15" s="19"/>
    </row>
    <row r="16" spans="1:16" ht="12.75" hidden="1" x14ac:dyDescent="0.2">
      <c r="A16" s="20"/>
      <c r="B16" s="21"/>
      <c r="C16" s="21"/>
      <c r="D16" s="21"/>
      <c r="E16" s="21"/>
      <c r="F16" s="21"/>
      <c r="G16" s="12"/>
      <c r="H16" s="12"/>
      <c r="I16" s="13"/>
      <c r="J16" s="13"/>
      <c r="K16" s="14"/>
      <c r="L16" s="14"/>
      <c r="M16" s="14"/>
      <c r="N16" s="14"/>
      <c r="O16" s="14"/>
      <c r="P16" s="14"/>
    </row>
    <row r="17" spans="1:16" ht="19.5" x14ac:dyDescent="0.3">
      <c r="A17" s="378" t="s">
        <v>15</v>
      </c>
      <c r="B17" s="379"/>
      <c r="C17" s="379"/>
      <c r="D17" s="379"/>
      <c r="E17" s="379"/>
      <c r="F17" s="379"/>
      <c r="G17" s="380"/>
      <c r="H17" s="22"/>
      <c r="I17" s="23"/>
      <c r="J17" s="23"/>
      <c r="K17" s="24"/>
      <c r="L17" s="24"/>
      <c r="M17" s="24"/>
      <c r="N17" s="24"/>
      <c r="O17" s="24"/>
      <c r="P17" s="24"/>
    </row>
    <row r="18" spans="1:16" ht="19.5" x14ac:dyDescent="0.3">
      <c r="A18" s="25"/>
      <c r="B18" s="26"/>
      <c r="C18" s="132" t="s">
        <v>16</v>
      </c>
      <c r="D18" s="28" t="s">
        <v>17</v>
      </c>
      <c r="E18" s="26"/>
      <c r="F18" s="26"/>
      <c r="G18" s="29"/>
      <c r="H18" s="30" t="s">
        <v>12</v>
      </c>
      <c r="I18" s="31"/>
      <c r="J18" s="31"/>
      <c r="K18" s="32"/>
      <c r="L18" s="33">
        <f ca="1">L19+L20</f>
        <v>2536125</v>
      </c>
      <c r="M18" s="33">
        <f ca="1">M19+M20</f>
        <v>2098985</v>
      </c>
      <c r="N18" s="33">
        <f ca="1">N19+N20</f>
        <v>525359.48</v>
      </c>
      <c r="O18" s="33">
        <f ca="1">IF(L18&gt;0,N18*100/L18,0)</f>
        <v>20.71504677411405</v>
      </c>
      <c r="P18" s="33">
        <f ca="1">IF(M18&gt;0,N18*100/M18,0)</f>
        <v>25.029215549420314</v>
      </c>
    </row>
    <row r="19" spans="1:16" ht="18.75" hidden="1" x14ac:dyDescent="0.25">
      <c r="A19" s="25"/>
      <c r="B19" s="26"/>
      <c r="C19" s="26"/>
      <c r="D19" s="26"/>
      <c r="E19" s="34" t="s">
        <v>18</v>
      </c>
      <c r="F19" s="26"/>
      <c r="G19" s="29"/>
      <c r="H19" s="35" t="s">
        <v>12</v>
      </c>
      <c r="I19" s="31"/>
      <c r="J19" s="31"/>
      <c r="K19" s="32"/>
      <c r="L19" s="36">
        <f>L22+L25</f>
        <v>0</v>
      </c>
      <c r="M19" s="36">
        <f>M22+M25</f>
        <v>0</v>
      </c>
      <c r="N19" s="36">
        <f>N22+N25</f>
        <v>0</v>
      </c>
      <c r="O19" s="36">
        <f>IF(L19&gt;0,N19*100/L19,0)</f>
        <v>0</v>
      </c>
      <c r="P19" s="36">
        <f>IF(M19&gt;0,N19*100/M19,0)</f>
        <v>0</v>
      </c>
    </row>
    <row r="20" spans="1:16" ht="18.75" x14ac:dyDescent="0.25">
      <c r="A20" s="25"/>
      <c r="B20" s="26"/>
      <c r="C20" s="26"/>
      <c r="D20" s="26"/>
      <c r="E20" s="37" t="s">
        <v>19</v>
      </c>
      <c r="F20" s="26"/>
      <c r="G20" s="29"/>
      <c r="H20" s="38" t="s">
        <v>12</v>
      </c>
      <c r="I20" s="31"/>
      <c r="J20" s="31"/>
      <c r="K20" s="32"/>
      <c r="L20" s="39">
        <f ca="1">L23+L26</f>
        <v>2536125</v>
      </c>
      <c r="M20" s="39">
        <f ca="1">M23+M26</f>
        <v>2098985</v>
      </c>
      <c r="N20" s="39">
        <f ca="1">N23+N26</f>
        <v>525359.48</v>
      </c>
      <c r="O20" s="39">
        <f ca="1">IF(L20&gt;0,N20*100/L20,0)</f>
        <v>20.71504677411405</v>
      </c>
      <c r="P20" s="39">
        <f ca="1">IF(M20&gt;0,N20*100/M20,0)</f>
        <v>25.029215549420314</v>
      </c>
    </row>
    <row r="21" spans="1:16" ht="18.75" x14ac:dyDescent="0.25">
      <c r="A21" s="40"/>
      <c r="B21" s="41"/>
      <c r="C21" s="41"/>
      <c r="D21" s="42" t="s">
        <v>20</v>
      </c>
      <c r="E21" s="41"/>
      <c r="F21" s="41"/>
      <c r="G21" s="43"/>
      <c r="H21" s="44" t="s">
        <v>12</v>
      </c>
      <c r="I21" s="45"/>
      <c r="J21" s="45"/>
      <c r="K21" s="46"/>
      <c r="L21" s="47">
        <f ca="1">L22+L23</f>
        <v>2536125</v>
      </c>
      <c r="M21" s="47">
        <f ca="1">M22+M23</f>
        <v>2098985</v>
      </c>
      <c r="N21" s="47">
        <f ca="1">N22+N23</f>
        <v>525359.48</v>
      </c>
      <c r="O21" s="47">
        <f ca="1">IF(L21&gt;0,N21*100/L21,0)</f>
        <v>20.71504677411405</v>
      </c>
      <c r="P21" s="47">
        <f ca="1">IF(M21&gt;0,N21*100/M21,0)</f>
        <v>25.029215549420314</v>
      </c>
    </row>
    <row r="22" spans="1:16" ht="18.75" hidden="1" x14ac:dyDescent="0.25">
      <c r="A22" s="40"/>
      <c r="B22" s="41"/>
      <c r="C22" s="41"/>
      <c r="D22" s="41"/>
      <c r="E22" s="279" t="s">
        <v>18</v>
      </c>
      <c r="F22" s="41"/>
      <c r="G22" s="43"/>
      <c r="H22" s="49" t="s">
        <v>12</v>
      </c>
      <c r="I22" s="45"/>
      <c r="J22" s="45"/>
      <c r="K22" s="46"/>
      <c r="L22" s="50">
        <f>L48+L63+L76+L98+L129+L143+L161+L190+L177+L270+L286+L307+L324+L337+L360+L381</f>
        <v>0</v>
      </c>
      <c r="M22" s="50">
        <f>M48+M63+M76+M98+M129+M143+M161+M190+M177+M270+M286+M307+M324+M337+M360+M381</f>
        <v>0</v>
      </c>
      <c r="N22" s="50">
        <f>N48+N63+N76+N98+N129+N143+N161+N190+N177+N270+N286+N307+N324+N337+N360+N381</f>
        <v>0</v>
      </c>
      <c r="O22" s="50">
        <f>IF(L22&gt;0,N22*100/L22,0)</f>
        <v>0</v>
      </c>
      <c r="P22" s="50">
        <f>IF(M22&gt;0,N22*100/M22,0)</f>
        <v>0</v>
      </c>
    </row>
    <row r="23" spans="1:16" ht="18.75" x14ac:dyDescent="0.25">
      <c r="A23" s="40"/>
      <c r="B23" s="41"/>
      <c r="C23" s="41"/>
      <c r="D23" s="41"/>
      <c r="E23" s="254" t="s">
        <v>19</v>
      </c>
      <c r="F23" s="41"/>
      <c r="G23" s="43"/>
      <c r="H23" s="44" t="s">
        <v>12</v>
      </c>
      <c r="I23" s="45"/>
      <c r="J23" s="45"/>
      <c r="K23" s="46"/>
      <c r="L23" s="47">
        <f ca="1">L49+L64+L77+L99+L130+L144+L162+L191+L178+L271+L287+L308+L325+L338+L361+L382</f>
        <v>2536125</v>
      </c>
      <c r="M23" s="47">
        <f ca="1">M49+M64+M77+M99+M130+M144+M162+M191+M178+M271+M287+M308+M325+M338+M361+M382</f>
        <v>2098985</v>
      </c>
      <c r="N23" s="47">
        <f ca="1">N49+N64+N77+N99+N130+N144+N162+N191+N178+N271+N287+N308+N325+N338+N361+N382</f>
        <v>525359.48</v>
      </c>
      <c r="O23" s="47">
        <f ca="1">IF(L23&gt;0,N23*100/L23,0)</f>
        <v>20.71504677411405</v>
      </c>
      <c r="P23" s="47">
        <f ca="1">IF(M23&gt;0,N23*100/M23,0)</f>
        <v>25.029215549420314</v>
      </c>
    </row>
    <row r="24" spans="1:16" ht="18.75" x14ac:dyDescent="0.25">
      <c r="A24" s="40"/>
      <c r="B24" s="41"/>
      <c r="C24" s="41"/>
      <c r="D24" s="42" t="s">
        <v>21</v>
      </c>
      <c r="E24" s="41"/>
      <c r="F24" s="41"/>
      <c r="G24" s="43"/>
      <c r="H24" s="44" t="s">
        <v>12</v>
      </c>
      <c r="I24" s="45"/>
      <c r="J24" s="45"/>
      <c r="K24" s="46"/>
      <c r="L24" s="47">
        <f ca="1">L25+L26</f>
        <v>0</v>
      </c>
      <c r="M24" s="47">
        <f ca="1">M25+M26</f>
        <v>0</v>
      </c>
      <c r="N24" s="47">
        <f ca="1">N25+N26</f>
        <v>0</v>
      </c>
      <c r="O24" s="47">
        <f ca="1">IF(L24&gt;0,N24*100/L24,0)</f>
        <v>0</v>
      </c>
      <c r="P24" s="47">
        <f ca="1">IF(M24&gt;0,N24*100/M24,0)</f>
        <v>0</v>
      </c>
    </row>
    <row r="25" spans="1:16" ht="18.75" hidden="1" x14ac:dyDescent="0.25">
      <c r="A25" s="40"/>
      <c r="B25" s="41"/>
      <c r="C25" s="41"/>
      <c r="D25" s="41"/>
      <c r="E25" s="279" t="s">
        <v>18</v>
      </c>
      <c r="F25" s="41"/>
      <c r="G25" s="43"/>
      <c r="H25" s="49" t="s">
        <v>12</v>
      </c>
      <c r="I25" s="45"/>
      <c r="J25" s="45"/>
      <c r="K25" s="46"/>
      <c r="L25" s="50">
        <f>L51+L66+L79+L101+L132+L146+L164+L193+L180+L273+L289+L310+L327+L340+L363+L384</f>
        <v>0</v>
      </c>
      <c r="M25" s="50">
        <f>M51+M66+M79+M101+M132+M146+M164+M193+M180+M273+M289+M310+M327+M340+M363+M384</f>
        <v>0</v>
      </c>
      <c r="N25" s="50">
        <f>N51+N66+N79+N101+N132+N146+N164+N193+N180+N273+N289+N310+N327+N340+N363+N384</f>
        <v>0</v>
      </c>
      <c r="O25" s="50">
        <f>IF(L25&gt;0,N25*100/L25,0)</f>
        <v>0</v>
      </c>
      <c r="P25" s="50">
        <f>IF(M25&gt;0,N25*100/M25,0)</f>
        <v>0</v>
      </c>
    </row>
    <row r="26" spans="1:16" ht="18.75" x14ac:dyDescent="0.25">
      <c r="A26" s="40"/>
      <c r="B26" s="41"/>
      <c r="C26" s="41"/>
      <c r="D26" s="41"/>
      <c r="E26" s="254" t="s">
        <v>19</v>
      </c>
      <c r="F26" s="41"/>
      <c r="G26" s="43"/>
      <c r="H26" s="44" t="s">
        <v>12</v>
      </c>
      <c r="I26" s="45"/>
      <c r="J26" s="45"/>
      <c r="K26" s="46"/>
      <c r="L26" s="47">
        <f ca="1">L52+L67+L80+L102+L133+L147+L165+L194+L181+L274+L290+L311+L328+L341+L364+L385</f>
        <v>0</v>
      </c>
      <c r="M26" s="47">
        <f ca="1">M52+M67+M80+M102+M133+M147+M165+M194+M181+M274+M290+M311+M328+M341+M364+M385</f>
        <v>0</v>
      </c>
      <c r="N26" s="47">
        <f ca="1">N52+N67+N80+N102+N133+N147+N165+N194+N181+N274+N290+N311+N328+N341+N364+N385</f>
        <v>0</v>
      </c>
      <c r="O26" s="47">
        <f ca="1">IF(L26&gt;0,N26*100/L26,0)</f>
        <v>0</v>
      </c>
      <c r="P26" s="47">
        <f ca="1">IF(M26&gt;0,N26*100/M26,0)</f>
        <v>0</v>
      </c>
    </row>
    <row r="27" spans="1:16" ht="18.75" hidden="1" x14ac:dyDescent="0.25">
      <c r="A27" s="40"/>
      <c r="B27" s="41"/>
      <c r="C27" s="41"/>
      <c r="D27" s="42" t="s">
        <v>22</v>
      </c>
      <c r="E27" s="41"/>
      <c r="F27" s="41"/>
      <c r="G27" s="43"/>
      <c r="H27" s="44" t="s">
        <v>12</v>
      </c>
      <c r="I27" s="45"/>
      <c r="J27" s="45"/>
      <c r="K27" s="46"/>
      <c r="L27" s="47"/>
      <c r="M27" s="47"/>
      <c r="N27" s="47"/>
      <c r="O27" s="47"/>
      <c r="P27" s="47"/>
    </row>
    <row r="28" spans="1:16" ht="18.75" hidden="1" x14ac:dyDescent="0.25">
      <c r="A28" s="40"/>
      <c r="B28" s="41"/>
      <c r="C28" s="41"/>
      <c r="D28" s="41"/>
      <c r="E28" s="279" t="s">
        <v>18</v>
      </c>
      <c r="F28" s="41"/>
      <c r="G28" s="43"/>
      <c r="H28" s="49" t="s">
        <v>12</v>
      </c>
      <c r="I28" s="45"/>
      <c r="J28" s="45"/>
      <c r="K28" s="46"/>
      <c r="L28" s="50"/>
      <c r="M28" s="50"/>
      <c r="N28" s="50"/>
      <c r="O28" s="50"/>
      <c r="P28" s="50"/>
    </row>
    <row r="29" spans="1:16" ht="18.75" hidden="1" x14ac:dyDescent="0.25">
      <c r="A29" s="52"/>
      <c r="B29" s="1"/>
      <c r="C29" s="1"/>
      <c r="D29" s="1"/>
      <c r="E29" s="53" t="s">
        <v>19</v>
      </c>
      <c r="F29" s="1"/>
      <c r="G29" s="54"/>
      <c r="H29" s="55" t="s">
        <v>12</v>
      </c>
      <c r="I29" s="56"/>
      <c r="J29" s="56"/>
      <c r="K29" s="57"/>
      <c r="L29" s="58"/>
      <c r="M29" s="58"/>
      <c r="N29" s="58"/>
      <c r="O29" s="58"/>
      <c r="P29" s="58"/>
    </row>
    <row r="30" spans="1:16" ht="12.75" hidden="1" x14ac:dyDescent="0.2">
      <c r="A30" s="381"/>
      <c r="B30" s="379"/>
      <c r="C30" s="379"/>
      <c r="D30" s="379"/>
      <c r="E30" s="379"/>
      <c r="F30" s="379"/>
      <c r="G30" s="380"/>
      <c r="H30" s="12"/>
      <c r="I30" s="13"/>
      <c r="J30" s="13"/>
      <c r="K30" s="14"/>
      <c r="L30" s="14"/>
      <c r="M30" s="14"/>
      <c r="N30" s="14"/>
      <c r="O30" s="14"/>
      <c r="P30" s="14"/>
    </row>
    <row r="31" spans="1:16" ht="12.75" hidden="1" x14ac:dyDescent="0.2">
      <c r="A31" s="15"/>
      <c r="B31" s="16"/>
      <c r="C31" s="16"/>
      <c r="D31" s="16"/>
      <c r="E31" s="16"/>
      <c r="F31" s="16"/>
      <c r="G31" s="17"/>
      <c r="H31" s="17"/>
      <c r="I31" s="18"/>
      <c r="J31" s="18"/>
      <c r="K31" s="19"/>
      <c r="L31" s="19"/>
      <c r="M31" s="19"/>
      <c r="N31" s="19"/>
      <c r="O31" s="19"/>
      <c r="P31" s="19"/>
    </row>
    <row r="32" spans="1:16" ht="12.75" hidden="1" x14ac:dyDescent="0.2">
      <c r="A32" s="15"/>
      <c r="B32" s="16"/>
      <c r="C32" s="16"/>
      <c r="D32" s="16"/>
      <c r="E32" s="16"/>
      <c r="F32" s="16"/>
      <c r="G32" s="17"/>
      <c r="H32" s="17"/>
      <c r="I32" s="18"/>
      <c r="J32" s="18"/>
      <c r="K32" s="19"/>
      <c r="L32" s="19"/>
      <c r="M32" s="19"/>
      <c r="N32" s="19"/>
      <c r="O32" s="19"/>
      <c r="P32" s="19"/>
    </row>
    <row r="33" spans="1:16" ht="12.75" hidden="1" x14ac:dyDescent="0.2">
      <c r="A33" s="15"/>
      <c r="B33" s="16"/>
      <c r="C33" s="16"/>
      <c r="D33" s="16"/>
      <c r="E33" s="16"/>
      <c r="F33" s="16"/>
      <c r="G33" s="17"/>
      <c r="H33" s="17"/>
      <c r="I33" s="18"/>
      <c r="J33" s="18"/>
      <c r="K33" s="19"/>
      <c r="L33" s="19"/>
      <c r="M33" s="19"/>
      <c r="N33" s="19"/>
      <c r="O33" s="19"/>
      <c r="P33" s="19"/>
    </row>
    <row r="34" spans="1:16" ht="12.75" hidden="1" x14ac:dyDescent="0.2">
      <c r="A34" s="15"/>
      <c r="B34" s="16"/>
      <c r="C34" s="16"/>
      <c r="D34" s="16"/>
      <c r="E34" s="16"/>
      <c r="F34" s="16"/>
      <c r="G34" s="17"/>
      <c r="H34" s="17"/>
      <c r="I34" s="18"/>
      <c r="J34" s="18"/>
      <c r="K34" s="19"/>
      <c r="L34" s="19"/>
      <c r="M34" s="19"/>
      <c r="N34" s="19"/>
      <c r="O34" s="19"/>
      <c r="P34" s="19"/>
    </row>
    <row r="35" spans="1:16" ht="12.75" hidden="1" x14ac:dyDescent="0.2">
      <c r="A35" s="15"/>
      <c r="B35" s="16"/>
      <c r="C35" s="16"/>
      <c r="D35" s="16"/>
      <c r="E35" s="16"/>
      <c r="F35" s="16"/>
      <c r="G35" s="17"/>
      <c r="H35" s="17"/>
      <c r="I35" s="18"/>
      <c r="J35" s="18"/>
      <c r="K35" s="19"/>
      <c r="L35" s="19"/>
      <c r="M35" s="19"/>
      <c r="N35" s="19"/>
      <c r="O35" s="19"/>
      <c r="P35" s="19"/>
    </row>
    <row r="36" spans="1:16" ht="12.75" hidden="1" x14ac:dyDescent="0.2">
      <c r="A36" s="15"/>
      <c r="B36" s="16"/>
      <c r="C36" s="16"/>
      <c r="D36" s="16"/>
      <c r="E36" s="16"/>
      <c r="F36" s="16"/>
      <c r="G36" s="17"/>
      <c r="H36" s="17"/>
      <c r="I36" s="18"/>
      <c r="J36" s="18"/>
      <c r="K36" s="19"/>
      <c r="L36" s="19"/>
      <c r="M36" s="19"/>
      <c r="N36" s="19"/>
      <c r="O36" s="19"/>
      <c r="P36" s="19"/>
    </row>
    <row r="37" spans="1:16" ht="12.75" hidden="1" x14ac:dyDescent="0.2">
      <c r="A37" s="15"/>
      <c r="B37" s="16"/>
      <c r="C37" s="16"/>
      <c r="D37" s="16"/>
      <c r="E37" s="16"/>
      <c r="F37" s="16"/>
      <c r="G37" s="17"/>
      <c r="H37" s="17"/>
      <c r="I37" s="18"/>
      <c r="J37" s="18"/>
      <c r="K37" s="19"/>
      <c r="L37" s="19"/>
      <c r="M37" s="19"/>
      <c r="N37" s="19"/>
      <c r="O37" s="19"/>
      <c r="P37" s="19"/>
    </row>
    <row r="38" spans="1:16" ht="12.75" hidden="1" x14ac:dyDescent="0.2">
      <c r="A38" s="15"/>
      <c r="B38" s="16"/>
      <c r="C38" s="16"/>
      <c r="D38" s="16"/>
      <c r="E38" s="16"/>
      <c r="F38" s="16"/>
      <c r="G38" s="17"/>
      <c r="H38" s="17"/>
      <c r="I38" s="18"/>
      <c r="J38" s="18"/>
      <c r="K38" s="19"/>
      <c r="L38" s="19"/>
      <c r="M38" s="19"/>
      <c r="N38" s="19"/>
      <c r="O38" s="19"/>
      <c r="P38" s="19"/>
    </row>
    <row r="39" spans="1:16" ht="12.75" hidden="1" x14ac:dyDescent="0.2">
      <c r="A39" s="20"/>
      <c r="B39" s="21"/>
      <c r="C39" s="21"/>
      <c r="D39" s="21"/>
      <c r="E39" s="21"/>
      <c r="F39" s="21"/>
      <c r="G39" s="12"/>
      <c r="H39" s="12"/>
      <c r="I39" s="13"/>
      <c r="J39" s="13"/>
      <c r="K39" s="14"/>
      <c r="L39" s="14"/>
      <c r="M39" s="14"/>
      <c r="N39" s="14"/>
      <c r="O39" s="14"/>
      <c r="P39" s="14"/>
    </row>
    <row r="40" spans="1:16" ht="19.5" hidden="1" x14ac:dyDescent="0.3">
      <c r="A40" s="59" t="s">
        <v>23</v>
      </c>
      <c r="B40" s="60"/>
      <c r="C40" s="60"/>
      <c r="D40" s="60"/>
      <c r="E40" s="60"/>
      <c r="F40" s="60"/>
      <c r="G40" s="61"/>
      <c r="H40" s="61"/>
      <c r="I40" s="62"/>
      <c r="J40" s="62"/>
      <c r="K40" s="63"/>
      <c r="L40" s="64">
        <f ca="1">L44+L59+L72+L94+L125+L139+L157+L173+L186+L266+L282+L303+L320+L333+L356</f>
        <v>2536125</v>
      </c>
      <c r="M40" s="64">
        <f ca="1">M44+M59+M72+M94+M125+M139+M157+M173+M186+M266+M282+M303+M320+M333+M356</f>
        <v>2098985</v>
      </c>
      <c r="N40" s="64">
        <f ca="1">N44+N59+N72+N94+N125+N139+N157+N173+N186+N266+N282+N303+N320+N333+N356</f>
        <v>525359.48</v>
      </c>
      <c r="O40" s="64">
        <f ca="1">IF(L40&gt;0,N40*100/L40,0)</f>
        <v>20.71504677411405</v>
      </c>
      <c r="P40" s="64">
        <f ca="1">IF(M40&gt;0,N40*100/M40,0)</f>
        <v>25.029215549420314</v>
      </c>
    </row>
    <row r="41" spans="1:16" ht="19.5" x14ac:dyDescent="0.3">
      <c r="A41" s="65" t="s">
        <v>24</v>
      </c>
      <c r="B41" s="66"/>
      <c r="C41" s="66"/>
      <c r="D41" s="66"/>
      <c r="E41" s="66"/>
      <c r="F41" s="66"/>
      <c r="G41" s="66"/>
      <c r="H41" s="66"/>
      <c r="I41" s="67"/>
      <c r="J41" s="67"/>
      <c r="K41" s="68"/>
      <c r="L41" s="68"/>
      <c r="M41" s="68"/>
      <c r="N41" s="68"/>
      <c r="O41" s="68"/>
      <c r="P41" s="69"/>
    </row>
    <row r="42" spans="1:16" ht="19.5" x14ac:dyDescent="0.3">
      <c r="A42" s="70"/>
      <c r="B42" s="71" t="s">
        <v>25</v>
      </c>
      <c r="C42" s="70"/>
      <c r="D42" s="70"/>
      <c r="E42" s="70"/>
      <c r="F42" s="70"/>
      <c r="G42" s="72"/>
      <c r="H42" s="72"/>
      <c r="I42" s="73"/>
      <c r="J42" s="73"/>
      <c r="K42" s="74"/>
      <c r="L42" s="74"/>
      <c r="M42" s="74"/>
      <c r="N42" s="74"/>
      <c r="O42" s="74"/>
      <c r="P42" s="74"/>
    </row>
    <row r="43" spans="1:16" ht="12.75" hidden="1" x14ac:dyDescent="0.2">
      <c r="A43" s="15"/>
      <c r="B43" s="16"/>
      <c r="C43" s="16"/>
      <c r="D43" s="16"/>
      <c r="E43" s="16"/>
      <c r="F43" s="16"/>
      <c r="G43" s="17"/>
      <c r="H43" s="17"/>
      <c r="I43" s="18"/>
      <c r="J43" s="18"/>
      <c r="K43" s="19"/>
      <c r="L43" s="19"/>
      <c r="M43" s="19"/>
      <c r="N43" s="19"/>
      <c r="O43" s="19"/>
      <c r="P43" s="19"/>
    </row>
    <row r="44" spans="1:16" ht="19.5" x14ac:dyDescent="0.3">
      <c r="A44" s="75"/>
      <c r="B44" s="76"/>
      <c r="C44" s="77" t="s">
        <v>16</v>
      </c>
      <c r="D44" s="404" t="s">
        <v>17</v>
      </c>
      <c r="E44" s="76"/>
      <c r="F44" s="76"/>
      <c r="G44" s="79"/>
      <c r="H44" s="80" t="s">
        <v>12</v>
      </c>
      <c r="I44" s="81"/>
      <c r="J44" s="81"/>
      <c r="K44" s="82"/>
      <c r="L44" s="83">
        <f ca="1">L45+L46</f>
        <v>355250</v>
      </c>
      <c r="M44" s="83">
        <f ca="1">M45+M46</f>
        <v>355250</v>
      </c>
      <c r="N44" s="83">
        <f ca="1">N45+N46</f>
        <v>95849</v>
      </c>
      <c r="O44" s="83">
        <f ca="1">IF(L44&gt;0,N44*100/L44,0)</f>
        <v>26.980717804363124</v>
      </c>
      <c r="P44" s="83">
        <f ca="1">IF(M44&gt;0,N44*100/M44,0)</f>
        <v>26.980717804363124</v>
      </c>
    </row>
    <row r="45" spans="1:16" ht="18.75" hidden="1" x14ac:dyDescent="0.25">
      <c r="A45" s="75"/>
      <c r="B45" s="76"/>
      <c r="C45" s="76"/>
      <c r="D45" s="76"/>
      <c r="E45" s="84" t="s">
        <v>18</v>
      </c>
      <c r="F45" s="76"/>
      <c r="G45" s="79"/>
      <c r="H45" s="85" t="s">
        <v>12</v>
      </c>
      <c r="I45" s="81"/>
      <c r="J45" s="81"/>
      <c r="K45" s="82"/>
      <c r="L45" s="86">
        <f>L48+L51</f>
        <v>0</v>
      </c>
      <c r="M45" s="86">
        <f>M48+M51</f>
        <v>0</v>
      </c>
      <c r="N45" s="86">
        <f>N48+N51</f>
        <v>0</v>
      </c>
      <c r="O45" s="86">
        <f>IF(L45&gt;0,N45*100/L45,0)</f>
        <v>0</v>
      </c>
      <c r="P45" s="86">
        <f>IF(M45&gt;0,N45*100/M45,0)</f>
        <v>0</v>
      </c>
    </row>
    <row r="46" spans="1:16" ht="18.75" x14ac:dyDescent="0.25">
      <c r="A46" s="75"/>
      <c r="B46" s="76"/>
      <c r="C46" s="76"/>
      <c r="D46" s="76"/>
      <c r="E46" s="87" t="s">
        <v>19</v>
      </c>
      <c r="F46" s="76"/>
      <c r="G46" s="79"/>
      <c r="H46" s="88" t="s">
        <v>12</v>
      </c>
      <c r="I46" s="81"/>
      <c r="J46" s="81"/>
      <c r="K46" s="82"/>
      <c r="L46" s="89">
        <f ca="1">L49+L52</f>
        <v>355250</v>
      </c>
      <c r="M46" s="89">
        <f ca="1">M49+M52</f>
        <v>355250</v>
      </c>
      <c r="N46" s="89">
        <f ca="1">N49+N52</f>
        <v>95849</v>
      </c>
      <c r="O46" s="89">
        <f ca="1">IF(L46&gt;0,N46*100/L46,0)</f>
        <v>26.980717804363124</v>
      </c>
      <c r="P46" s="89">
        <f ca="1">IF(M46&gt;0,N46*100/M46,0)</f>
        <v>26.980717804363124</v>
      </c>
    </row>
    <row r="47" spans="1:16" ht="18.75" x14ac:dyDescent="0.25">
      <c r="A47" s="40"/>
      <c r="B47" s="41"/>
      <c r="C47" s="41"/>
      <c r="D47" s="42" t="s">
        <v>20</v>
      </c>
      <c r="E47" s="41"/>
      <c r="F47" s="41"/>
      <c r="G47" s="43"/>
      <c r="H47" s="44" t="s">
        <v>12</v>
      </c>
      <c r="I47" s="45"/>
      <c r="J47" s="45"/>
      <c r="K47" s="46"/>
      <c r="L47" s="47">
        <f ca="1">L48+L49</f>
        <v>355250</v>
      </c>
      <c r="M47" s="47">
        <f ca="1">M48+M49</f>
        <v>355250</v>
      </c>
      <c r="N47" s="47">
        <f ca="1">N48+N49</f>
        <v>95849</v>
      </c>
      <c r="O47" s="47">
        <f ca="1">IF(L47&gt;0,N47*100/L47,0)</f>
        <v>26.980717804363124</v>
      </c>
      <c r="P47" s="47">
        <f ca="1">IF(M47&gt;0,N47*100/M47,0)</f>
        <v>26.980717804363124</v>
      </c>
    </row>
    <row r="48" spans="1:16" ht="18.75" hidden="1" x14ac:dyDescent="0.25">
      <c r="A48" s="40"/>
      <c r="B48" s="41"/>
      <c r="C48" s="41"/>
      <c r="D48" s="41"/>
      <c r="E48" s="279" t="s">
        <v>18</v>
      </c>
      <c r="F48" s="41"/>
      <c r="G48" s="43"/>
      <c r="H48" s="49" t="s">
        <v>12</v>
      </c>
      <c r="I48" s="45"/>
      <c r="J48" s="45"/>
      <c r="K48" s="46"/>
      <c r="L48" s="50">
        <v>0</v>
      </c>
      <c r="M48" s="50">
        <v>0</v>
      </c>
      <c r="N48" s="50">
        <v>0</v>
      </c>
      <c r="O48" s="50">
        <f>IF(L48&gt;0,N48*100/L48,0)</f>
        <v>0</v>
      </c>
      <c r="P48" s="50">
        <f>IF(M48&gt;0,N48*100/M48,0)</f>
        <v>0</v>
      </c>
    </row>
    <row r="49" spans="1:16" ht="18.75" x14ac:dyDescent="0.25">
      <c r="A49" s="40"/>
      <c r="B49" s="41"/>
      <c r="C49" s="41"/>
      <c r="D49" s="41"/>
      <c r="E49" s="254" t="s">
        <v>19</v>
      </c>
      <c r="F49" s="41"/>
      <c r="G49" s="43"/>
      <c r="H49" s="44" t="s">
        <v>12</v>
      </c>
      <c r="I49" s="45"/>
      <c r="J49" s="45"/>
      <c r="K49" s="46"/>
      <c r="L49" s="47">
        <f ca="1">IFERROR(__xludf.DUMMYFUNCTION("IMPORTRANGE(""https://docs.google.com/spreadsheets/d/1-uDff_7J0KD5mKrp0Vvzr7lt3OU09vwQwhkpOPPYv2Y/edit?usp=sharing"",""งบพรบ!P27"")"),355250)</f>
        <v>355250</v>
      </c>
      <c r="M49" s="47">
        <f ca="1">IFERROR(__xludf.DUMMYFUNCTION("IMPORTRANGE(""https://docs.google.com/spreadsheets/d/1-uDff_7J0KD5mKrp0Vvzr7lt3OU09vwQwhkpOPPYv2Y/edit?usp=sharing"",""งบพรบ!V27"")"),355250)</f>
        <v>355250</v>
      </c>
      <c r="N49" s="47">
        <f ca="1">IFERROR(__xludf.DUMMYFUNCTION("IMPORTRANGE(""https://docs.google.com/spreadsheets/d/1-uDff_7J0KD5mKrp0Vvzr7lt3OU09vwQwhkpOPPYv2Y/edit?usp=sharing"",""งบพรบ!Y27"")"),95849)</f>
        <v>95849</v>
      </c>
      <c r="O49" s="47">
        <f ca="1">IF(L49&gt;0,N49*100/L49,0)</f>
        <v>26.980717804363124</v>
      </c>
      <c r="P49" s="47">
        <f ca="1">IF(M49&gt;0,N49*100/M49,0)</f>
        <v>26.980717804363124</v>
      </c>
    </row>
    <row r="50" spans="1:16" ht="18.75" x14ac:dyDescent="0.25">
      <c r="A50" s="40"/>
      <c r="B50" s="41"/>
      <c r="C50" s="41"/>
      <c r="D50" s="42" t="s">
        <v>21</v>
      </c>
      <c r="E50" s="41"/>
      <c r="F50" s="41"/>
      <c r="G50" s="43"/>
      <c r="H50" s="44" t="s">
        <v>12</v>
      </c>
      <c r="I50" s="45"/>
      <c r="J50" s="45"/>
      <c r="K50" s="46"/>
      <c r="L50" s="47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</row>
    <row r="51" spans="1:16" ht="18.75" hidden="1" x14ac:dyDescent="0.25">
      <c r="A51" s="40"/>
      <c r="B51" s="41"/>
      <c r="C51" s="41"/>
      <c r="D51" s="41"/>
      <c r="E51" s="279" t="s">
        <v>18</v>
      </c>
      <c r="F51" s="41"/>
      <c r="G51" s="43"/>
      <c r="H51" s="49" t="s">
        <v>12</v>
      </c>
      <c r="I51" s="45"/>
      <c r="J51" s="45"/>
      <c r="K51" s="46"/>
      <c r="L51" s="50">
        <v>0</v>
      </c>
      <c r="M51" s="50">
        <v>0</v>
      </c>
      <c r="N51" s="50">
        <v>0</v>
      </c>
      <c r="O51" s="50">
        <f>IF(L51&gt;0,N51*100/L51,0)</f>
        <v>0</v>
      </c>
      <c r="P51" s="50">
        <f>IF(M51&gt;0,N51*100/M51,0)</f>
        <v>0</v>
      </c>
    </row>
    <row r="52" spans="1:16" ht="18.75" x14ac:dyDescent="0.25">
      <c r="A52" s="40"/>
      <c r="B52" s="41"/>
      <c r="C52" s="41"/>
      <c r="D52" s="41"/>
      <c r="E52" s="254" t="s">
        <v>19</v>
      </c>
      <c r="F52" s="41"/>
      <c r="G52" s="43"/>
      <c r="H52" s="44" t="s">
        <v>12</v>
      </c>
      <c r="I52" s="45"/>
      <c r="J52" s="45"/>
      <c r="K52" s="46"/>
      <c r="L52" s="47">
        <f ca="1">IFERROR(__xludf.DUMMYFUNCTION("IMPORTRANGE(""https://docs.google.com/spreadsheets/d/1-uDff_7J0KD5mKrp0Vvzr7lt3OU09vwQwhkpOPPYv2Y/edit?usp=sharing"",""งบพรบ!S27"")"),0)</f>
        <v>0</v>
      </c>
      <c r="M52" s="47">
        <f ca="1">IFERROR(__xludf.DUMMYFUNCTION("IMPORTRANGE(""https://docs.google.com/spreadsheets/d/1-uDff_7J0KD5mKrp0Vvzr7lt3OU09vwQwhkpOPPYv2Y/edit?usp=sharing"",""งบพรบ!W27"")"),0)</f>
        <v>0</v>
      </c>
      <c r="N52" s="47">
        <f ca="1">IFERROR(__xludf.DUMMYFUNCTION("IMPORTRANGE(""https://docs.google.com/spreadsheets/d/1-uDff_7J0KD5mKrp0Vvzr7lt3OU09vwQwhkpOPPYv2Y/edit?usp=sharing"",""งบพรบ!Z27"")"),0)</f>
        <v>0</v>
      </c>
      <c r="O52" s="47">
        <f ca="1">IF(L52&gt;0,N52*100/L52,0)</f>
        <v>0</v>
      </c>
      <c r="P52" s="47">
        <f ca="1">IF(M52&gt;0,N52*100/M52,0)</f>
        <v>0</v>
      </c>
    </row>
    <row r="53" spans="1:16" ht="18.75" hidden="1" x14ac:dyDescent="0.25">
      <c r="A53" s="40"/>
      <c r="B53" s="41"/>
      <c r="C53" s="41"/>
      <c r="D53" s="42" t="s">
        <v>22</v>
      </c>
      <c r="E53" s="41"/>
      <c r="F53" s="41"/>
      <c r="G53" s="43"/>
      <c r="H53" s="44" t="s">
        <v>12</v>
      </c>
      <c r="I53" s="45"/>
      <c r="J53" s="45"/>
      <c r="K53" s="46"/>
      <c r="L53" s="47"/>
      <c r="M53" s="47"/>
      <c r="N53" s="47"/>
      <c r="O53" s="47"/>
      <c r="P53" s="47"/>
    </row>
    <row r="54" spans="1:16" ht="18.75" hidden="1" x14ac:dyDescent="0.25">
      <c r="A54" s="40"/>
      <c r="B54" s="41"/>
      <c r="C54" s="41"/>
      <c r="D54" s="41"/>
      <c r="E54" s="279" t="s">
        <v>18</v>
      </c>
      <c r="F54" s="41"/>
      <c r="G54" s="43"/>
      <c r="H54" s="49" t="s">
        <v>12</v>
      </c>
      <c r="I54" s="45"/>
      <c r="J54" s="45"/>
      <c r="K54" s="46"/>
      <c r="L54" s="50"/>
      <c r="M54" s="50"/>
      <c r="N54" s="50"/>
      <c r="O54" s="50"/>
      <c r="P54" s="50"/>
    </row>
    <row r="55" spans="1:16" ht="18.75" hidden="1" x14ac:dyDescent="0.25">
      <c r="A55" s="52"/>
      <c r="B55" s="1"/>
      <c r="C55" s="1"/>
      <c r="D55" s="1"/>
      <c r="E55" s="53" t="s">
        <v>19</v>
      </c>
      <c r="F55" s="1"/>
      <c r="G55" s="54"/>
      <c r="H55" s="55" t="s">
        <v>12</v>
      </c>
      <c r="I55" s="56"/>
      <c r="J55" s="56"/>
      <c r="K55" s="57"/>
      <c r="L55" s="58"/>
      <c r="M55" s="58"/>
      <c r="N55" s="58"/>
      <c r="O55" s="58"/>
      <c r="P55" s="58"/>
    </row>
    <row r="56" spans="1:16" ht="19.5" x14ac:dyDescent="0.3">
      <c r="A56" s="382" t="s">
        <v>26</v>
      </c>
      <c r="B56" s="379"/>
      <c r="C56" s="379"/>
      <c r="D56" s="379"/>
      <c r="E56" s="379"/>
      <c r="F56" s="379"/>
      <c r="G56" s="380"/>
      <c r="H56" s="90"/>
      <c r="I56" s="91"/>
      <c r="J56" s="91"/>
      <c r="K56" s="92"/>
      <c r="L56" s="92"/>
      <c r="M56" s="92"/>
      <c r="N56" s="92"/>
      <c r="O56" s="92"/>
      <c r="P56" s="93"/>
    </row>
    <row r="57" spans="1:16" ht="19.5" x14ac:dyDescent="0.3">
      <c r="A57" s="94"/>
      <c r="B57" s="383" t="s">
        <v>27</v>
      </c>
      <c r="C57" s="384"/>
      <c r="D57" s="384"/>
      <c r="E57" s="384"/>
      <c r="F57" s="384"/>
      <c r="G57" s="385"/>
      <c r="H57" s="95"/>
      <c r="I57" s="96"/>
      <c r="J57" s="96"/>
      <c r="K57" s="97"/>
      <c r="L57" s="97"/>
      <c r="M57" s="97"/>
      <c r="N57" s="97"/>
      <c r="O57" s="97"/>
      <c r="P57" s="97"/>
    </row>
    <row r="58" spans="1:16" ht="19.5" x14ac:dyDescent="0.3">
      <c r="A58" s="98"/>
      <c r="B58" s="99" t="s">
        <v>28</v>
      </c>
      <c r="C58" s="100"/>
      <c r="D58" s="100"/>
      <c r="E58" s="100"/>
      <c r="F58" s="100"/>
      <c r="G58" s="101"/>
      <c r="H58" s="101"/>
      <c r="I58" s="102"/>
      <c r="J58" s="102"/>
      <c r="K58" s="103"/>
      <c r="L58" s="103"/>
      <c r="M58" s="103"/>
      <c r="N58" s="103"/>
      <c r="O58" s="103"/>
      <c r="P58" s="103"/>
    </row>
    <row r="59" spans="1:16" ht="19.5" x14ac:dyDescent="0.3">
      <c r="A59" s="104"/>
      <c r="B59" s="105"/>
      <c r="C59" s="106" t="s">
        <v>16</v>
      </c>
      <c r="D59" s="403" t="s">
        <v>17</v>
      </c>
      <c r="E59" s="105"/>
      <c r="F59" s="105"/>
      <c r="G59" s="108"/>
      <c r="H59" s="109" t="s">
        <v>12</v>
      </c>
      <c r="I59" s="110"/>
      <c r="J59" s="110"/>
      <c r="K59" s="111"/>
      <c r="L59" s="112">
        <f ca="1">L60+L61</f>
        <v>530800</v>
      </c>
      <c r="M59" s="112">
        <f ca="1">M60+M61</f>
        <v>400250</v>
      </c>
      <c r="N59" s="112">
        <f ca="1">N60+N61</f>
        <v>246949.48</v>
      </c>
      <c r="O59" s="112">
        <f ca="1">IF(L59&gt;0,N59*100/L59,0)</f>
        <v>46.524016578749055</v>
      </c>
      <c r="P59" s="112">
        <f ca="1">IF(M59&gt;0,N59*100/M59,0)</f>
        <v>61.698808244846973</v>
      </c>
    </row>
    <row r="60" spans="1:16" ht="18.75" hidden="1" x14ac:dyDescent="0.25">
      <c r="A60" s="104"/>
      <c r="B60" s="105"/>
      <c r="C60" s="105"/>
      <c r="D60" s="105"/>
      <c r="E60" s="113" t="s">
        <v>18</v>
      </c>
      <c r="F60" s="105"/>
      <c r="G60" s="108"/>
      <c r="H60" s="114" t="s">
        <v>12</v>
      </c>
      <c r="I60" s="110"/>
      <c r="J60" s="110"/>
      <c r="K60" s="111"/>
      <c r="L60" s="115">
        <f>L63+L66</f>
        <v>0</v>
      </c>
      <c r="M60" s="115">
        <f>M63+M66</f>
        <v>0</v>
      </c>
      <c r="N60" s="115">
        <f>N63+N66</f>
        <v>0</v>
      </c>
      <c r="O60" s="115">
        <f>IF(L60&gt;0,N60*100/L60,0)</f>
        <v>0</v>
      </c>
      <c r="P60" s="115">
        <f>IF(M60&gt;0,N60*100/M60,0)</f>
        <v>0</v>
      </c>
    </row>
    <row r="61" spans="1:16" ht="18.75" x14ac:dyDescent="0.25">
      <c r="A61" s="104"/>
      <c r="B61" s="105"/>
      <c r="C61" s="105"/>
      <c r="D61" s="105"/>
      <c r="E61" s="116" t="s">
        <v>19</v>
      </c>
      <c r="F61" s="105"/>
      <c r="G61" s="108"/>
      <c r="H61" s="117" t="s">
        <v>12</v>
      </c>
      <c r="I61" s="110"/>
      <c r="J61" s="110"/>
      <c r="K61" s="111"/>
      <c r="L61" s="118">
        <f ca="1">L64+L67</f>
        <v>530800</v>
      </c>
      <c r="M61" s="118">
        <f ca="1">M64+M67</f>
        <v>400250</v>
      </c>
      <c r="N61" s="118">
        <f ca="1">N64+N67</f>
        <v>246949.48</v>
      </c>
      <c r="O61" s="118">
        <f ca="1">IF(L61&gt;0,N61*100/L61,0)</f>
        <v>46.524016578749055</v>
      </c>
      <c r="P61" s="118">
        <f ca="1">IF(M61&gt;0,N61*100/M61,0)</f>
        <v>61.698808244846973</v>
      </c>
    </row>
    <row r="62" spans="1:16" ht="18.75" x14ac:dyDescent="0.25">
      <c r="A62" s="40"/>
      <c r="B62" s="41"/>
      <c r="C62" s="41"/>
      <c r="D62" s="42" t="s">
        <v>20</v>
      </c>
      <c r="E62" s="41"/>
      <c r="F62" s="41"/>
      <c r="G62" s="43"/>
      <c r="H62" s="44" t="s">
        <v>12</v>
      </c>
      <c r="I62" s="45"/>
      <c r="J62" s="45"/>
      <c r="K62" s="46"/>
      <c r="L62" s="47">
        <f ca="1">L63+L64</f>
        <v>530800</v>
      </c>
      <c r="M62" s="47">
        <f ca="1">M63+M64</f>
        <v>400250</v>
      </c>
      <c r="N62" s="47">
        <f ca="1">N63+N64</f>
        <v>246949.48</v>
      </c>
      <c r="O62" s="47">
        <f ca="1">IF(L62&gt;0,N62*100/L62,0)</f>
        <v>46.524016578749055</v>
      </c>
      <c r="P62" s="47">
        <f ca="1">IF(M62&gt;0,N62*100/M62,0)</f>
        <v>61.698808244846973</v>
      </c>
    </row>
    <row r="63" spans="1:16" ht="18.75" hidden="1" x14ac:dyDescent="0.25">
      <c r="A63" s="40"/>
      <c r="B63" s="41"/>
      <c r="C63" s="41"/>
      <c r="D63" s="41"/>
      <c r="E63" s="279" t="s">
        <v>18</v>
      </c>
      <c r="F63" s="41"/>
      <c r="G63" s="43"/>
      <c r="H63" s="49" t="s">
        <v>12</v>
      </c>
      <c r="I63" s="45"/>
      <c r="J63" s="45"/>
      <c r="K63" s="46"/>
      <c r="L63" s="50">
        <v>0</v>
      </c>
      <c r="M63" s="50">
        <v>0</v>
      </c>
      <c r="N63" s="50">
        <v>0</v>
      </c>
      <c r="O63" s="50">
        <f>IF(L63&gt;0,N63*100/L63,0)</f>
        <v>0</v>
      </c>
      <c r="P63" s="50">
        <f>IF(M63&gt;0,N63*100/M63,0)</f>
        <v>0</v>
      </c>
    </row>
    <row r="64" spans="1:16" ht="18.75" x14ac:dyDescent="0.25">
      <c r="A64" s="40"/>
      <c r="B64" s="41"/>
      <c r="C64" s="41"/>
      <c r="D64" s="41"/>
      <c r="E64" s="254" t="s">
        <v>19</v>
      </c>
      <c r="F64" s="41"/>
      <c r="G64" s="43"/>
      <c r="H64" s="44" t="s">
        <v>12</v>
      </c>
      <c r="I64" s="45"/>
      <c r="J64" s="45"/>
      <c r="K64" s="46"/>
      <c r="L64" s="47">
        <f ca="1">IFERROR(__xludf.DUMMYFUNCTION("IMPORTRANGE(""https://docs.google.com/spreadsheets/d/1-uDff_7J0KD5mKrp0Vvzr7lt3OU09vwQwhkpOPPYv2Y/edit?usp=sharing"",""งบพรบ!AC27"")"),530800)</f>
        <v>530800</v>
      </c>
      <c r="M64" s="47">
        <f ca="1">IFERROR(__xludf.DUMMYFUNCTION("IMPORTRANGE(""https://docs.google.com/spreadsheets/d/1-uDff_7J0KD5mKrp0Vvzr7lt3OU09vwQwhkpOPPYv2Y/edit?usp=sharing"",""งบพรบ!AH27"")"),400250)</f>
        <v>400250</v>
      </c>
      <c r="N64" s="47">
        <f ca="1">IFERROR(__xludf.DUMMYFUNCTION("IMPORTRANGE(""https://docs.google.com/spreadsheets/d/1-uDff_7J0KD5mKrp0Vvzr7lt3OU09vwQwhkpOPPYv2Y/edit?usp=sharing"",""งบพรบ!AJ27"")"),246949.48)</f>
        <v>246949.48</v>
      </c>
      <c r="O64" s="47">
        <f ca="1">IF(L64&gt;0,N64*100/L64,0)</f>
        <v>46.524016578749055</v>
      </c>
      <c r="P64" s="47">
        <f ca="1">IF(M64&gt;0,N64*100/M64,0)</f>
        <v>61.698808244846973</v>
      </c>
    </row>
    <row r="65" spans="1:16" ht="18.75" x14ac:dyDescent="0.25">
      <c r="A65" s="40"/>
      <c r="B65" s="41"/>
      <c r="C65" s="41"/>
      <c r="D65" s="42" t="s">
        <v>21</v>
      </c>
      <c r="E65" s="41"/>
      <c r="F65" s="41"/>
      <c r="G65" s="43"/>
      <c r="H65" s="44" t="s">
        <v>12</v>
      </c>
      <c r="I65" s="45"/>
      <c r="J65" s="45"/>
      <c r="K65" s="46"/>
      <c r="L65" s="47">
        <f ca="1">L66+L67</f>
        <v>0</v>
      </c>
      <c r="M65" s="47">
        <f ca="1">M66+M67</f>
        <v>0</v>
      </c>
      <c r="N65" s="47">
        <f ca="1">N66+N67</f>
        <v>0</v>
      </c>
      <c r="O65" s="47">
        <f ca="1">IF(L65&gt;0,N65*100/L65,0)</f>
        <v>0</v>
      </c>
      <c r="P65" s="47">
        <f ca="1">IF(M65&gt;0,N65*100/M65,0)</f>
        <v>0</v>
      </c>
    </row>
    <row r="66" spans="1:16" ht="18.75" hidden="1" x14ac:dyDescent="0.25">
      <c r="A66" s="40"/>
      <c r="B66" s="41"/>
      <c r="C66" s="41"/>
      <c r="D66" s="41"/>
      <c r="E66" s="279" t="s">
        <v>18</v>
      </c>
      <c r="F66" s="41"/>
      <c r="G66" s="43"/>
      <c r="H66" s="49" t="s">
        <v>12</v>
      </c>
      <c r="I66" s="45"/>
      <c r="J66" s="45"/>
      <c r="K66" s="46"/>
      <c r="L66" s="50">
        <v>0</v>
      </c>
      <c r="M66" s="50">
        <v>0</v>
      </c>
      <c r="N66" s="50">
        <v>0</v>
      </c>
      <c r="O66" s="50">
        <f>IF(L66&gt;0,N66*100/L66,0)</f>
        <v>0</v>
      </c>
      <c r="P66" s="50">
        <f>IF(M66&gt;0,N66*100/M66,0)</f>
        <v>0</v>
      </c>
    </row>
    <row r="67" spans="1:16" ht="18.75" x14ac:dyDescent="0.25">
      <c r="A67" s="52"/>
      <c r="B67" s="1"/>
      <c r="C67" s="1"/>
      <c r="D67" s="1"/>
      <c r="E67" s="53" t="s">
        <v>19</v>
      </c>
      <c r="F67" s="1"/>
      <c r="G67" s="54"/>
      <c r="H67" s="55" t="s">
        <v>12</v>
      </c>
      <c r="I67" s="56"/>
      <c r="J67" s="56"/>
      <c r="K67" s="57"/>
      <c r="L67" s="58">
        <f ca="1">IFERROR(__xludf.DUMMYFUNCTION("IMPORTRANGE(""https://docs.google.com/spreadsheets/d/1-uDff_7J0KD5mKrp0Vvzr7lt3OU09vwQwhkpOPPYv2Y/edit?usp=sharing"",""งบพรบ!AF27"")"),0)</f>
        <v>0</v>
      </c>
      <c r="M67" s="58">
        <f ca="1">IFERROR(__xludf.DUMMYFUNCTION("IMPORTRANGE(""https://docs.google.com/spreadsheets/d/1-uDff_7J0KD5mKrp0Vvzr7lt3OU09vwQwhkpOPPYv2Y/edit?usp=sharing"",""งบพรบ!AI27"")"),0)</f>
        <v>0</v>
      </c>
      <c r="N67" s="58">
        <f ca="1">IFERROR(__xludf.DUMMYFUNCTION("IMPORTRANGE(""https://docs.google.com/spreadsheets/d/1-uDff_7J0KD5mKrp0Vvzr7lt3OU09vwQwhkpOPPYv2Y/edit?usp=sharing"",""งบพรบ!AK27"")"),0)</f>
        <v>0</v>
      </c>
      <c r="O67" s="58">
        <f ca="1">IF(L67&gt;0,N67*100/L67,0)</f>
        <v>0</v>
      </c>
      <c r="P67" s="58">
        <f ca="1">IF(M67&gt;0,N67*100/M67,0)</f>
        <v>0</v>
      </c>
    </row>
    <row r="68" spans="1:16" ht="19.5" x14ac:dyDescent="0.3">
      <c r="A68" s="119" t="s">
        <v>29</v>
      </c>
      <c r="B68" s="120"/>
      <c r="C68" s="120"/>
      <c r="D68" s="120"/>
      <c r="E68" s="121"/>
      <c r="F68" s="121"/>
      <c r="G68" s="121"/>
      <c r="H68" s="121"/>
      <c r="I68" s="122"/>
      <c r="J68" s="122"/>
      <c r="K68" s="123"/>
      <c r="L68" s="123"/>
      <c r="M68" s="123"/>
      <c r="N68" s="123"/>
      <c r="O68" s="123"/>
      <c r="P68" s="124"/>
    </row>
    <row r="69" spans="1:16" ht="19.5" x14ac:dyDescent="0.3">
      <c r="A69" s="125" t="s">
        <v>30</v>
      </c>
      <c r="B69" s="126"/>
      <c r="C69" s="127"/>
      <c r="D69" s="126"/>
      <c r="E69" s="126"/>
      <c r="F69" s="126"/>
      <c r="G69" s="128"/>
      <c r="H69" s="128"/>
      <c r="I69" s="129"/>
      <c r="J69" s="129"/>
      <c r="K69" s="130"/>
      <c r="L69" s="130"/>
      <c r="M69" s="130"/>
      <c r="N69" s="130"/>
      <c r="O69" s="130"/>
      <c r="P69" s="130"/>
    </row>
    <row r="70" spans="1:16" ht="19.5" x14ac:dyDescent="0.3">
      <c r="A70" s="131"/>
      <c r="B70" s="132" t="s">
        <v>31</v>
      </c>
      <c r="C70" s="26"/>
      <c r="D70" s="133"/>
      <c r="E70" s="26"/>
      <c r="F70" s="26"/>
      <c r="G70" s="29"/>
      <c r="H70" s="134" t="s">
        <v>32</v>
      </c>
      <c r="I70" s="135">
        <f ca="1">I82</f>
        <v>1</v>
      </c>
      <c r="J70" s="135">
        <f>J82</f>
        <v>0</v>
      </c>
      <c r="K70" s="33">
        <f ca="1">IF(I70&gt;0,J70*100/I70,0)</f>
        <v>0</v>
      </c>
      <c r="L70" s="32"/>
      <c r="M70" s="32"/>
      <c r="N70" s="32"/>
      <c r="O70" s="32"/>
      <c r="P70" s="32"/>
    </row>
    <row r="71" spans="1:16" ht="19.5" x14ac:dyDescent="0.3">
      <c r="A71" s="131"/>
      <c r="B71" s="26"/>
      <c r="C71" s="26"/>
      <c r="D71" s="133"/>
      <c r="E71" s="26"/>
      <c r="F71" s="26"/>
      <c r="G71" s="29"/>
      <c r="H71" s="134" t="s">
        <v>33</v>
      </c>
      <c r="I71" s="135">
        <f ca="1">I83</f>
        <v>35</v>
      </c>
      <c r="J71" s="135">
        <f>J83</f>
        <v>0</v>
      </c>
      <c r="K71" s="33">
        <f ca="1">IF(I71&gt;0,J71*100/I71,0)</f>
        <v>0</v>
      </c>
      <c r="L71" s="32"/>
      <c r="M71" s="32"/>
      <c r="N71" s="32"/>
      <c r="O71" s="32"/>
      <c r="P71" s="32"/>
    </row>
    <row r="72" spans="1:16" ht="19.5" x14ac:dyDescent="0.3">
      <c r="A72" s="136"/>
      <c r="B72" s="41"/>
      <c r="C72" s="197" t="s">
        <v>16</v>
      </c>
      <c r="D72" s="397" t="s">
        <v>17</v>
      </c>
      <c r="E72" s="41"/>
      <c r="F72" s="41"/>
      <c r="G72" s="43"/>
      <c r="H72" s="139" t="s">
        <v>12</v>
      </c>
      <c r="I72" s="45"/>
      <c r="J72" s="45"/>
      <c r="K72" s="46"/>
      <c r="L72" s="140">
        <f ca="1">L73+L74</f>
        <v>633500</v>
      </c>
      <c r="M72" s="140">
        <f ca="1">M73+M74</f>
        <v>524500</v>
      </c>
      <c r="N72" s="140">
        <f ca="1">N73+N74</f>
        <v>49477</v>
      </c>
      <c r="O72" s="140">
        <f ca="1">IF(L72&gt;0,N72*100/L72,0)</f>
        <v>7.8101026045777431</v>
      </c>
      <c r="P72" s="140">
        <f ca="1">IF(M72&gt;0,N72*100/M72,0)</f>
        <v>9.433174451858914</v>
      </c>
    </row>
    <row r="73" spans="1:16" ht="18.75" hidden="1" x14ac:dyDescent="0.25">
      <c r="A73" s="136"/>
      <c r="B73" s="41"/>
      <c r="C73" s="41"/>
      <c r="D73" s="41"/>
      <c r="E73" s="279" t="s">
        <v>18</v>
      </c>
      <c r="F73" s="41"/>
      <c r="G73" s="43"/>
      <c r="H73" s="141" t="s">
        <v>12</v>
      </c>
      <c r="I73" s="45"/>
      <c r="J73" s="45"/>
      <c r="K73" s="46"/>
      <c r="L73" s="50">
        <f>L76+L79</f>
        <v>0</v>
      </c>
      <c r="M73" s="50">
        <f>M76+M79</f>
        <v>0</v>
      </c>
      <c r="N73" s="50">
        <f>N76+N79</f>
        <v>0</v>
      </c>
      <c r="O73" s="50">
        <f>IF(L73&gt;0,N73*100/L73,0)</f>
        <v>0</v>
      </c>
      <c r="P73" s="50">
        <f>IF(M73&gt;0,N73*100/M73,0)</f>
        <v>0</v>
      </c>
    </row>
    <row r="74" spans="1:16" ht="18.75" x14ac:dyDescent="0.25">
      <c r="A74" s="136"/>
      <c r="B74" s="41"/>
      <c r="C74" s="41"/>
      <c r="D74" s="41"/>
      <c r="E74" s="254" t="s">
        <v>19</v>
      </c>
      <c r="F74" s="41"/>
      <c r="G74" s="43"/>
      <c r="H74" s="142" t="s">
        <v>12</v>
      </c>
      <c r="I74" s="45"/>
      <c r="J74" s="45"/>
      <c r="K74" s="46"/>
      <c r="L74" s="47">
        <f ca="1">L77+L80</f>
        <v>633500</v>
      </c>
      <c r="M74" s="47">
        <f ca="1">M77+M80</f>
        <v>524500</v>
      </c>
      <c r="N74" s="47">
        <f ca="1">N77+N80</f>
        <v>49477</v>
      </c>
      <c r="O74" s="47">
        <f ca="1">IF(L74&gt;0,N74*100/L74,0)</f>
        <v>7.8101026045777431</v>
      </c>
      <c r="P74" s="47">
        <f ca="1">IF(M74&gt;0,N74*100/M74,0)</f>
        <v>9.433174451858914</v>
      </c>
    </row>
    <row r="75" spans="1:16" ht="18.75" x14ac:dyDescent="0.25">
      <c r="A75" s="136"/>
      <c r="B75" s="41"/>
      <c r="C75" s="41"/>
      <c r="D75" s="42" t="s">
        <v>20</v>
      </c>
      <c r="E75" s="41"/>
      <c r="F75" s="41"/>
      <c r="G75" s="43"/>
      <c r="H75" s="143" t="s">
        <v>12</v>
      </c>
      <c r="I75" s="144"/>
      <c r="J75" s="144"/>
      <c r="K75" s="145"/>
      <c r="L75" s="47">
        <f ca="1">L76+L77</f>
        <v>633500</v>
      </c>
      <c r="M75" s="47">
        <f ca="1">M76+M77</f>
        <v>524500</v>
      </c>
      <c r="N75" s="47">
        <f ca="1">N76+N77</f>
        <v>49477</v>
      </c>
      <c r="O75" s="47">
        <f ca="1">IF(L75&gt;0,N75*100/L75,0)</f>
        <v>7.8101026045777431</v>
      </c>
      <c r="P75" s="47">
        <f ca="1">IF(M75&gt;0,N75*100/M75,0)</f>
        <v>9.433174451858914</v>
      </c>
    </row>
    <row r="76" spans="1:16" ht="18.75" hidden="1" x14ac:dyDescent="0.25">
      <c r="A76" s="136"/>
      <c r="B76" s="41"/>
      <c r="C76" s="41"/>
      <c r="D76" s="41"/>
      <c r="E76" s="279" t="s">
        <v>34</v>
      </c>
      <c r="F76" s="41"/>
      <c r="G76" s="43"/>
      <c r="H76" s="146" t="s">
        <v>12</v>
      </c>
      <c r="I76" s="144"/>
      <c r="J76" s="144"/>
      <c r="K76" s="145"/>
      <c r="L76" s="50">
        <v>0</v>
      </c>
      <c r="M76" s="50">
        <v>0</v>
      </c>
      <c r="N76" s="50">
        <v>0</v>
      </c>
      <c r="O76" s="50">
        <f>IF(L76&gt;0,N76*100/L76,0)</f>
        <v>0</v>
      </c>
      <c r="P76" s="50">
        <f>IF(M76&gt;0,N76*100/M76,0)</f>
        <v>0</v>
      </c>
    </row>
    <row r="77" spans="1:16" ht="18.75" x14ac:dyDescent="0.25">
      <c r="A77" s="136"/>
      <c r="B77" s="41"/>
      <c r="C77" s="41"/>
      <c r="D77" s="41"/>
      <c r="E77" s="254" t="s">
        <v>35</v>
      </c>
      <c r="F77" s="41"/>
      <c r="G77" s="43"/>
      <c r="H77" s="143" t="s">
        <v>12</v>
      </c>
      <c r="I77" s="144"/>
      <c r="J77" s="144"/>
      <c r="K77" s="145"/>
      <c r="L77" s="47">
        <f ca="1">IFERROR(__xludf.DUMMYFUNCTION("IMPORTRANGE(""https://docs.google.com/spreadsheets/d/1-uDff_7J0KD5mKrp0Vvzr7lt3OU09vwQwhkpOPPYv2Y/edit?usp=sharing"",""งบพรบ!AM27"")"),633500)</f>
        <v>633500</v>
      </c>
      <c r="M77" s="47">
        <f ca="1">IFERROR(__xludf.DUMMYFUNCTION("IMPORTRANGE(""https://docs.google.com/spreadsheets/d/1-uDff_7J0KD5mKrp0Vvzr7lt3OU09vwQwhkpOPPYv2Y/edit?usp=sharing"",""งบพรบ!AR27"")"),524500)</f>
        <v>524500</v>
      </c>
      <c r="N77" s="47">
        <f ca="1">IFERROR(__xludf.DUMMYFUNCTION("IMPORTRANGE(""https://docs.google.com/spreadsheets/d/1-uDff_7J0KD5mKrp0Vvzr7lt3OU09vwQwhkpOPPYv2Y/edit?usp=sharing"",""งบพรบ!AT27"")"),49477)</f>
        <v>49477</v>
      </c>
      <c r="O77" s="47">
        <f ca="1">IF(L77&gt;0,N77*100/L77,0)</f>
        <v>7.8101026045777431</v>
      </c>
      <c r="P77" s="47">
        <f ca="1">IF(M77&gt;0,N77*100/M77,0)</f>
        <v>9.433174451858914</v>
      </c>
    </row>
    <row r="78" spans="1:16" ht="18.75" x14ac:dyDescent="0.25">
      <c r="A78" s="136"/>
      <c r="B78" s="41"/>
      <c r="C78" s="41"/>
      <c r="D78" s="42" t="s">
        <v>21</v>
      </c>
      <c r="E78" s="41"/>
      <c r="F78" s="41"/>
      <c r="G78" s="43"/>
      <c r="H78" s="147" t="s">
        <v>12</v>
      </c>
      <c r="I78" s="144"/>
      <c r="J78" s="144"/>
      <c r="K78" s="145"/>
      <c r="L78" s="47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</row>
    <row r="79" spans="1:16" ht="18.75" hidden="1" x14ac:dyDescent="0.25">
      <c r="A79" s="136"/>
      <c r="B79" s="41"/>
      <c r="C79" s="41"/>
      <c r="D79" s="41"/>
      <c r="E79" s="279" t="s">
        <v>18</v>
      </c>
      <c r="F79" s="41"/>
      <c r="G79" s="43"/>
      <c r="H79" s="146" t="s">
        <v>12</v>
      </c>
      <c r="I79" s="144"/>
      <c r="J79" s="144"/>
      <c r="K79" s="145"/>
      <c r="L79" s="50">
        <v>0</v>
      </c>
      <c r="M79" s="46"/>
      <c r="N79" s="46"/>
      <c r="O79" s="50">
        <f>IF(L79&gt;0,N79*100/L79,0)</f>
        <v>0</v>
      </c>
      <c r="P79" s="50">
        <f>IF(M79&gt;0,N79*100/M79,0)</f>
        <v>0</v>
      </c>
    </row>
    <row r="80" spans="1:16" ht="18.75" x14ac:dyDescent="0.25">
      <c r="A80" s="136"/>
      <c r="B80" s="41"/>
      <c r="C80" s="41"/>
      <c r="D80" s="41"/>
      <c r="E80" s="254" t="s">
        <v>19</v>
      </c>
      <c r="F80" s="41"/>
      <c r="G80" s="43"/>
      <c r="H80" s="147" t="s">
        <v>12</v>
      </c>
      <c r="I80" s="144"/>
      <c r="J80" s="144"/>
      <c r="K80" s="145"/>
      <c r="L80" s="47">
        <f ca="1">IFERROR(__xludf.DUMMYFUNCTION("IMPORTRANGE(""https://docs.google.com/spreadsheets/d/1-uDff_7J0KD5mKrp0Vvzr7lt3OU09vwQwhkpOPPYv2Y/edit?usp=sharing"",""งบพรบ!AP27"")"),0)</f>
        <v>0</v>
      </c>
      <c r="M80" s="47">
        <f ca="1">IFERROR(__xludf.DUMMYFUNCTION("IMPORTRANGE(""https://docs.google.com/spreadsheets/d/1-uDff_7J0KD5mKrp0Vvzr7lt3OU09vwQwhkpOPPYv2Y/edit?usp=sharing"",""งบพรบ!AS27"")"),0)</f>
        <v>0</v>
      </c>
      <c r="N80" s="47">
        <f ca="1">IFERROR(__xludf.DUMMYFUNCTION("IMPORTRANGE(""https://docs.google.com/spreadsheets/d/1-uDff_7J0KD5mKrp0Vvzr7lt3OU09vwQwhkpOPPYv2Y/edit?usp=sharing"",""งบพรบ!AU27"")"),0)</f>
        <v>0</v>
      </c>
      <c r="O80" s="47">
        <f ca="1">IF(L80&gt;0,N80*100/L80,0)</f>
        <v>0</v>
      </c>
      <c r="P80" s="47">
        <f ca="1">IF(M80&gt;0,N80*100/M80,0)</f>
        <v>0</v>
      </c>
    </row>
    <row r="81" spans="1:16" ht="19.5" x14ac:dyDescent="0.3">
      <c r="A81" s="148"/>
      <c r="B81" s="149"/>
      <c r="C81" s="197" t="s">
        <v>16</v>
      </c>
      <c r="D81" s="395" t="s">
        <v>36</v>
      </c>
      <c r="E81" s="151"/>
      <c r="F81" s="151"/>
      <c r="G81" s="152"/>
      <c r="H81" s="153"/>
      <c r="I81" s="144"/>
      <c r="J81" s="144"/>
      <c r="K81" s="145"/>
      <c r="L81" s="145"/>
      <c r="M81" s="145"/>
      <c r="N81" s="145"/>
      <c r="O81" s="145"/>
      <c r="P81" s="145"/>
    </row>
    <row r="82" spans="1:16" ht="19.5" x14ac:dyDescent="0.3">
      <c r="A82" s="148"/>
      <c r="B82" s="149"/>
      <c r="C82" s="149"/>
      <c r="D82" s="154" t="s">
        <v>37</v>
      </c>
      <c r="E82" s="155"/>
      <c r="F82" s="155"/>
      <c r="G82" s="153"/>
      <c r="H82" s="156" t="s">
        <v>32</v>
      </c>
      <c r="I82" s="157">
        <f ca="1">I84+I86+I88</f>
        <v>1</v>
      </c>
      <c r="J82" s="157">
        <f>J84+J86+J88</f>
        <v>0</v>
      </c>
      <c r="K82" s="158">
        <f ca="1">IF(I82&gt;0,J82*100/I82,0)</f>
        <v>0</v>
      </c>
      <c r="L82" s="145"/>
      <c r="M82" s="145"/>
      <c r="N82" s="145"/>
      <c r="O82" s="145"/>
      <c r="P82" s="145"/>
    </row>
    <row r="83" spans="1:16" ht="19.5" x14ac:dyDescent="0.3">
      <c r="A83" s="148"/>
      <c r="B83" s="149"/>
      <c r="C83" s="149"/>
      <c r="D83" s="149"/>
      <c r="E83" s="155"/>
      <c r="F83" s="155"/>
      <c r="G83" s="153"/>
      <c r="H83" s="156" t="s">
        <v>33</v>
      </c>
      <c r="I83" s="157">
        <f ca="1">I85+I87+I89</f>
        <v>35</v>
      </c>
      <c r="J83" s="157">
        <f>J85+J87+J89</f>
        <v>0</v>
      </c>
      <c r="K83" s="158">
        <f ca="1">IF(I83&gt;0,J83*100/I83,0)</f>
        <v>0</v>
      </c>
      <c r="L83" s="145"/>
      <c r="M83" s="145"/>
      <c r="N83" s="145"/>
      <c r="O83" s="145"/>
      <c r="P83" s="145"/>
    </row>
    <row r="84" spans="1:16" ht="18.75" x14ac:dyDescent="0.25">
      <c r="A84" s="148"/>
      <c r="B84" s="149"/>
      <c r="C84" s="149"/>
      <c r="D84" s="149"/>
      <c r="E84" s="159" t="s">
        <v>38</v>
      </c>
      <c r="F84" s="155"/>
      <c r="G84" s="153"/>
      <c r="H84" s="251" t="s">
        <v>32</v>
      </c>
      <c r="I84" s="161">
        <f ca="1">IFERROR(__xludf.DUMMYFUNCTION("IMPORTRANGE(""https://docs.google.com/spreadsheets/d/1eHaY18a8A9IcSdp1K8H6x8fbOy06t2VsZHhMHf-1x7Y/edit?usp=sharing"",""แผน!H27"")"),0)</f>
        <v>0</v>
      </c>
      <c r="J84" s="250">
        <v>0</v>
      </c>
      <c r="K84" s="163">
        <f ca="1">IF(I84&gt;0,J84*100/I84,0)</f>
        <v>0</v>
      </c>
      <c r="L84" s="145"/>
      <c r="M84" s="145"/>
      <c r="N84" s="145"/>
      <c r="O84" s="145"/>
      <c r="P84" s="145"/>
    </row>
    <row r="85" spans="1:16" ht="18.75" x14ac:dyDescent="0.25">
      <c r="A85" s="148"/>
      <c r="B85" s="149"/>
      <c r="C85" s="149"/>
      <c r="D85" s="149"/>
      <c r="E85" s="155"/>
      <c r="F85" s="155"/>
      <c r="G85" s="153"/>
      <c r="H85" s="251" t="s">
        <v>33</v>
      </c>
      <c r="I85" s="161">
        <f ca="1">IFERROR(__xludf.DUMMYFUNCTION("IMPORTRANGE(""https://docs.google.com/spreadsheets/d/1eHaY18a8A9IcSdp1K8H6x8fbOy06t2VsZHhMHf-1x7Y/edit?usp=sharing"",""แผน!I27"")"),0)</f>
        <v>0</v>
      </c>
      <c r="J85" s="250">
        <v>0</v>
      </c>
      <c r="K85" s="163">
        <f ca="1">IF(I85&gt;0,J85*100/I85,0)</f>
        <v>0</v>
      </c>
      <c r="L85" s="145"/>
      <c r="M85" s="145"/>
      <c r="N85" s="145"/>
      <c r="O85" s="145"/>
      <c r="P85" s="145"/>
    </row>
    <row r="86" spans="1:16" ht="18.75" x14ac:dyDescent="0.25">
      <c r="A86" s="148"/>
      <c r="B86" s="149"/>
      <c r="C86" s="149"/>
      <c r="D86" s="149"/>
      <c r="E86" s="159" t="s">
        <v>39</v>
      </c>
      <c r="F86" s="155"/>
      <c r="G86" s="153"/>
      <c r="H86" s="251" t="s">
        <v>32</v>
      </c>
      <c r="I86" s="161">
        <f ca="1">IFERROR(__xludf.DUMMYFUNCTION("IMPORTRANGE(""https://docs.google.com/spreadsheets/d/1eHaY18a8A9IcSdp1K8H6x8fbOy06t2VsZHhMHf-1x7Y/edit?usp=sharing"",""แผน!F27"")"),0)</f>
        <v>0</v>
      </c>
      <c r="J86" s="250">
        <v>0</v>
      </c>
      <c r="K86" s="163">
        <f ca="1">IF(I86&gt;0,J86*100/I86,0)</f>
        <v>0</v>
      </c>
      <c r="L86" s="145"/>
      <c r="M86" s="145"/>
      <c r="N86" s="145"/>
      <c r="O86" s="145"/>
      <c r="P86" s="145"/>
    </row>
    <row r="87" spans="1:16" ht="18.75" x14ac:dyDescent="0.25">
      <c r="A87" s="148"/>
      <c r="B87" s="149"/>
      <c r="C87" s="149"/>
      <c r="D87" s="149"/>
      <c r="E87" s="155"/>
      <c r="F87" s="155"/>
      <c r="G87" s="153"/>
      <c r="H87" s="251" t="s">
        <v>33</v>
      </c>
      <c r="I87" s="161">
        <f ca="1">IFERROR(__xludf.DUMMYFUNCTION("IMPORTRANGE(""https://docs.google.com/spreadsheets/d/1eHaY18a8A9IcSdp1K8H6x8fbOy06t2VsZHhMHf-1x7Y/edit?usp=sharing"",""แผน!G27"")"),0)</f>
        <v>0</v>
      </c>
      <c r="J87" s="250">
        <v>0</v>
      </c>
      <c r="K87" s="163">
        <f ca="1">IF(I87&gt;0,J87*100/I87,0)</f>
        <v>0</v>
      </c>
      <c r="L87" s="145"/>
      <c r="M87" s="145"/>
      <c r="N87" s="145"/>
      <c r="O87" s="145"/>
      <c r="P87" s="145"/>
    </row>
    <row r="88" spans="1:16" ht="18.75" x14ac:dyDescent="0.25">
      <c r="A88" s="148"/>
      <c r="B88" s="149"/>
      <c r="C88" s="149"/>
      <c r="D88" s="149"/>
      <c r="E88" s="159" t="s">
        <v>40</v>
      </c>
      <c r="F88" s="155"/>
      <c r="G88" s="153"/>
      <c r="H88" s="251" t="s">
        <v>32</v>
      </c>
      <c r="I88" s="161">
        <f ca="1">IFERROR(__xludf.DUMMYFUNCTION("IMPORTRANGE(""https://docs.google.com/spreadsheets/d/1eHaY18a8A9IcSdp1K8H6x8fbOy06t2VsZHhMHf-1x7Y/edit?usp=sharing"",""แผน!D27"")"),1)</f>
        <v>1</v>
      </c>
      <c r="J88" s="250">
        <v>0</v>
      </c>
      <c r="K88" s="163">
        <f ca="1">IF(I88&gt;0,J88*100/I88,0)</f>
        <v>0</v>
      </c>
      <c r="L88" s="145"/>
      <c r="M88" s="145"/>
      <c r="N88" s="145"/>
      <c r="O88" s="145"/>
      <c r="P88" s="145"/>
    </row>
    <row r="89" spans="1:16" ht="18.75" x14ac:dyDescent="0.25">
      <c r="A89" s="148"/>
      <c r="B89" s="149"/>
      <c r="C89" s="149"/>
      <c r="D89" s="149"/>
      <c r="E89" s="155"/>
      <c r="F89" s="155"/>
      <c r="G89" s="153"/>
      <c r="H89" s="251" t="s">
        <v>33</v>
      </c>
      <c r="I89" s="161">
        <f ca="1">IFERROR(__xludf.DUMMYFUNCTION("IMPORTRANGE(""https://docs.google.com/spreadsheets/d/1eHaY18a8A9IcSdp1K8H6x8fbOy06t2VsZHhMHf-1x7Y/edit?usp=sharing"",""แผน!E27"")"),35)</f>
        <v>35</v>
      </c>
      <c r="J89" s="250">
        <v>0</v>
      </c>
      <c r="K89" s="163">
        <f ca="1">IF(I89&gt;0,J89*100/I89,0)</f>
        <v>0</v>
      </c>
      <c r="L89" s="145"/>
      <c r="M89" s="145"/>
      <c r="N89" s="145"/>
      <c r="O89" s="145"/>
      <c r="P89" s="145"/>
    </row>
    <row r="90" spans="1:16" ht="18.75" x14ac:dyDescent="0.25">
      <c r="A90" s="148"/>
      <c r="B90" s="149"/>
      <c r="C90" s="149"/>
      <c r="D90" s="154" t="s">
        <v>41</v>
      </c>
      <c r="E90" s="155"/>
      <c r="F90" s="155"/>
      <c r="G90" s="153"/>
      <c r="H90" s="164" t="s">
        <v>32</v>
      </c>
      <c r="I90" s="161">
        <f ca="1">IFERROR(__xludf.DUMMYFUNCTION("IMPORTRANGE(""https://docs.google.com/spreadsheets/d/1eHaY18a8A9IcSdp1K8H6x8fbOy06t2VsZHhMHf-1x7Y/edit?usp=sharing"",""แผน!J27"")"),1)</f>
        <v>1</v>
      </c>
      <c r="J90" s="250">
        <v>0</v>
      </c>
      <c r="K90" s="163">
        <f ca="1">IF(I90&gt;0,J90*100/I90,0)</f>
        <v>0</v>
      </c>
      <c r="L90" s="145"/>
      <c r="M90" s="145"/>
      <c r="N90" s="145"/>
      <c r="O90" s="145"/>
      <c r="P90" s="145"/>
    </row>
    <row r="91" spans="1:16" ht="19.5" x14ac:dyDescent="0.3">
      <c r="A91" s="125" t="s">
        <v>42</v>
      </c>
      <c r="B91" s="126"/>
      <c r="C91" s="127"/>
      <c r="D91" s="126"/>
      <c r="E91" s="126"/>
      <c r="F91" s="126"/>
      <c r="G91" s="128"/>
      <c r="H91" s="128"/>
      <c r="I91" s="129"/>
      <c r="J91" s="129"/>
      <c r="K91" s="130"/>
      <c r="L91" s="130"/>
      <c r="M91" s="130"/>
      <c r="N91" s="130"/>
      <c r="O91" s="130"/>
      <c r="P91" s="130"/>
    </row>
    <row r="92" spans="1:16" ht="19.5" x14ac:dyDescent="0.3">
      <c r="A92" s="131"/>
      <c r="B92" s="132" t="s">
        <v>43</v>
      </c>
      <c r="C92" s="26"/>
      <c r="D92" s="133"/>
      <c r="E92" s="26"/>
      <c r="F92" s="26"/>
      <c r="G92" s="29"/>
      <c r="H92" s="134" t="s">
        <v>44</v>
      </c>
      <c r="I92" s="135">
        <f ca="1">I108</f>
        <v>30</v>
      </c>
      <c r="J92" s="135">
        <f>J108</f>
        <v>0</v>
      </c>
      <c r="K92" s="33">
        <f ca="1">IF(I92&gt;0,J92*100/I92,0)</f>
        <v>0</v>
      </c>
      <c r="L92" s="32"/>
      <c r="M92" s="32"/>
      <c r="N92" s="32"/>
      <c r="O92" s="32"/>
      <c r="P92" s="32"/>
    </row>
    <row r="93" spans="1:16" ht="19.5" x14ac:dyDescent="0.3">
      <c r="A93" s="131"/>
      <c r="B93" s="26"/>
      <c r="C93" s="26"/>
      <c r="D93" s="133"/>
      <c r="E93" s="26"/>
      <c r="F93" s="26"/>
      <c r="G93" s="29"/>
      <c r="H93" s="134" t="s">
        <v>33</v>
      </c>
      <c r="I93" s="135">
        <f ca="1">I109</f>
        <v>10</v>
      </c>
      <c r="J93" s="135">
        <f>J109</f>
        <v>0</v>
      </c>
      <c r="K93" s="33">
        <f ca="1">IF(I93&gt;0,J93*100/I93,0)</f>
        <v>0</v>
      </c>
      <c r="L93" s="32"/>
      <c r="M93" s="32"/>
      <c r="N93" s="32"/>
      <c r="O93" s="32"/>
      <c r="P93" s="32"/>
    </row>
    <row r="94" spans="1:16" ht="19.5" x14ac:dyDescent="0.3">
      <c r="A94" s="136"/>
      <c r="B94" s="41"/>
      <c r="C94" s="197" t="s">
        <v>16</v>
      </c>
      <c r="D94" s="397" t="s">
        <v>17</v>
      </c>
      <c r="E94" s="41"/>
      <c r="F94" s="41"/>
      <c r="G94" s="43"/>
      <c r="H94" s="139" t="s">
        <v>12</v>
      </c>
      <c r="I94" s="45"/>
      <c r="J94" s="45"/>
      <c r="K94" s="46"/>
      <c r="L94" s="140">
        <f ca="1">L95+L96</f>
        <v>136300</v>
      </c>
      <c r="M94" s="140">
        <f ca="1">M95+M96</f>
        <v>112000</v>
      </c>
      <c r="N94" s="140">
        <f ca="1">N95+N96</f>
        <v>31104</v>
      </c>
      <c r="O94" s="140">
        <f ca="1">IF(L94&gt;0,N94*100/L94,0)</f>
        <v>22.820249449743212</v>
      </c>
      <c r="P94" s="140">
        <f ca="1">IF(M94&gt;0,N94*100/M94,0)</f>
        <v>27.771428571428572</v>
      </c>
    </row>
    <row r="95" spans="1:16" ht="18.75" hidden="1" x14ac:dyDescent="0.25">
      <c r="A95" s="136"/>
      <c r="B95" s="41"/>
      <c r="C95" s="41"/>
      <c r="D95" s="41"/>
      <c r="E95" s="279" t="s">
        <v>18</v>
      </c>
      <c r="F95" s="41"/>
      <c r="G95" s="43"/>
      <c r="H95" s="141" t="s">
        <v>12</v>
      </c>
      <c r="I95" s="45"/>
      <c r="J95" s="45"/>
      <c r="K95" s="46"/>
      <c r="L95" s="50">
        <f>L98+L101</f>
        <v>0</v>
      </c>
      <c r="M95" s="50">
        <f>M98+M101</f>
        <v>0</v>
      </c>
      <c r="N95" s="50">
        <f>N98+N101</f>
        <v>0</v>
      </c>
      <c r="O95" s="50">
        <f>IF(L95&gt;0,N95*100/L95,0)</f>
        <v>0</v>
      </c>
      <c r="P95" s="50">
        <f>IF(M95&gt;0,N95*100/M95,0)</f>
        <v>0</v>
      </c>
    </row>
    <row r="96" spans="1:16" ht="18.75" x14ac:dyDescent="0.25">
      <c r="A96" s="136"/>
      <c r="B96" s="41"/>
      <c r="C96" s="41"/>
      <c r="D96" s="41"/>
      <c r="E96" s="254" t="s">
        <v>19</v>
      </c>
      <c r="F96" s="41"/>
      <c r="G96" s="43"/>
      <c r="H96" s="142" t="s">
        <v>12</v>
      </c>
      <c r="I96" s="45"/>
      <c r="J96" s="45"/>
      <c r="K96" s="46"/>
      <c r="L96" s="47">
        <f ca="1">L99+L102</f>
        <v>136300</v>
      </c>
      <c r="M96" s="47">
        <f ca="1">M99+M102</f>
        <v>112000</v>
      </c>
      <c r="N96" s="47">
        <f ca="1">N99+N102</f>
        <v>31104</v>
      </c>
      <c r="O96" s="47">
        <f ca="1">IF(L96&gt;0,N96*100/L96,0)</f>
        <v>22.820249449743212</v>
      </c>
      <c r="P96" s="47">
        <f ca="1">IF(M96&gt;0,N96*100/M96,0)</f>
        <v>27.771428571428572</v>
      </c>
    </row>
    <row r="97" spans="1:16" ht="18.75" x14ac:dyDescent="0.25">
      <c r="A97" s="136"/>
      <c r="B97" s="41"/>
      <c r="C97" s="41"/>
      <c r="D97" s="42" t="s">
        <v>20</v>
      </c>
      <c r="E97" s="41"/>
      <c r="F97" s="41"/>
      <c r="G97" s="43"/>
      <c r="H97" s="143" t="s">
        <v>12</v>
      </c>
      <c r="I97" s="144"/>
      <c r="J97" s="144"/>
      <c r="K97" s="145"/>
      <c r="L97" s="47">
        <f ca="1">L98+L99</f>
        <v>136300</v>
      </c>
      <c r="M97" s="47">
        <f ca="1">M98+M99</f>
        <v>112000</v>
      </c>
      <c r="N97" s="47">
        <f ca="1">N98+N99</f>
        <v>31104</v>
      </c>
      <c r="O97" s="47">
        <f ca="1">IF(L97&gt;0,N97*100/L97,0)</f>
        <v>22.820249449743212</v>
      </c>
      <c r="P97" s="47">
        <f ca="1">IF(M97&gt;0,N97*100/M97,0)</f>
        <v>27.771428571428572</v>
      </c>
    </row>
    <row r="98" spans="1:16" ht="18.75" hidden="1" x14ac:dyDescent="0.25">
      <c r="A98" s="136"/>
      <c r="B98" s="41"/>
      <c r="C98" s="41"/>
      <c r="D98" s="41"/>
      <c r="E98" s="279" t="s">
        <v>34</v>
      </c>
      <c r="F98" s="41"/>
      <c r="G98" s="43"/>
      <c r="H98" s="146" t="s">
        <v>12</v>
      </c>
      <c r="I98" s="144"/>
      <c r="J98" s="144"/>
      <c r="K98" s="145"/>
      <c r="L98" s="50">
        <v>0</v>
      </c>
      <c r="M98" s="50">
        <v>0</v>
      </c>
      <c r="N98" s="50">
        <v>0</v>
      </c>
      <c r="O98" s="50">
        <f>IF(L98&gt;0,N98*100/L98,0)</f>
        <v>0</v>
      </c>
      <c r="P98" s="50">
        <f>IF(M98&gt;0,N98*100/M98,0)</f>
        <v>0</v>
      </c>
    </row>
    <row r="99" spans="1:16" ht="18.75" x14ac:dyDescent="0.25">
      <c r="A99" s="136"/>
      <c r="B99" s="41"/>
      <c r="C99" s="41"/>
      <c r="D99" s="41"/>
      <c r="E99" s="254" t="s">
        <v>35</v>
      </c>
      <c r="F99" s="41"/>
      <c r="G99" s="43"/>
      <c r="H99" s="143" t="s">
        <v>12</v>
      </c>
      <c r="I99" s="144"/>
      <c r="J99" s="144"/>
      <c r="K99" s="145"/>
      <c r="L99" s="47">
        <f ca="1">IFERROR(__xludf.DUMMYFUNCTION("IMPORTRANGE(""https://docs.google.com/spreadsheets/d/1-uDff_7J0KD5mKrp0Vvzr7lt3OU09vwQwhkpOPPYv2Y/edit?usp=sharing"",""งบพรบ!AW27"")"),136300)</f>
        <v>136300</v>
      </c>
      <c r="M99" s="47">
        <f ca="1">IFERROR(__xludf.DUMMYFUNCTION("IMPORTRANGE(""https://docs.google.com/spreadsheets/d/1-uDff_7J0KD5mKrp0Vvzr7lt3OU09vwQwhkpOPPYv2Y/edit?usp=sharing"",""งบพรบ!BB27"")"),112000)</f>
        <v>112000</v>
      </c>
      <c r="N99" s="47">
        <f ca="1">IFERROR(__xludf.DUMMYFUNCTION("IMPORTRANGE(""https://docs.google.com/spreadsheets/d/1-uDff_7J0KD5mKrp0Vvzr7lt3OU09vwQwhkpOPPYv2Y/edit?usp=sharing"",""งบพรบ!BD27"")"),31104)</f>
        <v>31104</v>
      </c>
      <c r="O99" s="47">
        <f ca="1">IF(L99&gt;0,N99*100/L99,0)</f>
        <v>22.820249449743212</v>
      </c>
      <c r="P99" s="47">
        <f ca="1">IF(M99&gt;0,N99*100/M99,0)</f>
        <v>27.771428571428572</v>
      </c>
    </row>
    <row r="100" spans="1:16" ht="18.75" x14ac:dyDescent="0.25">
      <c r="A100" s="136"/>
      <c r="B100" s="41"/>
      <c r="C100" s="41"/>
      <c r="D100" s="42" t="s">
        <v>21</v>
      </c>
      <c r="E100" s="41"/>
      <c r="F100" s="41"/>
      <c r="G100" s="43"/>
      <c r="H100" s="147" t="s">
        <v>12</v>
      </c>
      <c r="I100" s="144"/>
      <c r="J100" s="144"/>
      <c r="K100" s="145"/>
      <c r="L100" s="47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</row>
    <row r="101" spans="1:16" ht="18.75" hidden="1" x14ac:dyDescent="0.25">
      <c r="A101" s="136"/>
      <c r="B101" s="41"/>
      <c r="C101" s="41"/>
      <c r="D101" s="41"/>
      <c r="E101" s="279" t="s">
        <v>18</v>
      </c>
      <c r="F101" s="41"/>
      <c r="G101" s="43"/>
      <c r="H101" s="146" t="s">
        <v>12</v>
      </c>
      <c r="I101" s="144"/>
      <c r="J101" s="144"/>
      <c r="K101" s="145"/>
      <c r="L101" s="50">
        <v>0</v>
      </c>
      <c r="M101" s="50">
        <v>0</v>
      </c>
      <c r="N101" s="50">
        <v>0</v>
      </c>
      <c r="O101" s="50">
        <f>IF(L101&gt;0,N101*100/L101,0)</f>
        <v>0</v>
      </c>
      <c r="P101" s="50">
        <f>IF(M101&gt;0,N101*100/M101,0)</f>
        <v>0</v>
      </c>
    </row>
    <row r="102" spans="1:16" ht="18.75" x14ac:dyDescent="0.25">
      <c r="A102" s="136"/>
      <c r="B102" s="41"/>
      <c r="C102" s="41"/>
      <c r="D102" s="41"/>
      <c r="E102" s="254" t="s">
        <v>19</v>
      </c>
      <c r="F102" s="41"/>
      <c r="G102" s="43"/>
      <c r="H102" s="147" t="s">
        <v>12</v>
      </c>
      <c r="I102" s="144"/>
      <c r="J102" s="144"/>
      <c r="K102" s="145"/>
      <c r="L102" s="47">
        <f ca="1">IFERROR(__xludf.DUMMYFUNCTION("IMPORTRANGE(""https://docs.google.com/spreadsheets/d/1-uDff_7J0KD5mKrp0Vvzr7lt3OU09vwQwhkpOPPYv2Y/edit?usp=sharing"",""งบพรบ!AZ27"")"),0)</f>
        <v>0</v>
      </c>
      <c r="M102" s="47">
        <f ca="1">IFERROR(__xludf.DUMMYFUNCTION("IMPORTRANGE(""https://docs.google.com/spreadsheets/d/1-uDff_7J0KD5mKrp0Vvzr7lt3OU09vwQwhkpOPPYv2Y/edit?usp=sharing"",""งบพรบ!BC27"")"),0)</f>
        <v>0</v>
      </c>
      <c r="N102" s="47">
        <f ca="1">IFERROR(__xludf.DUMMYFUNCTION("IMPORTRANGE(""https://docs.google.com/spreadsheets/d/1-uDff_7J0KD5mKrp0Vvzr7lt3OU09vwQwhkpOPPYv2Y/edit?usp=sharing"",""งบพรบ!BE27"")"),0)</f>
        <v>0</v>
      </c>
      <c r="O102" s="47">
        <f ca="1">IF(L102&gt;0,N102*100/L102,0)</f>
        <v>0</v>
      </c>
      <c r="P102" s="47">
        <f ca="1">IF(M102&gt;0,N102*100/M102,0)</f>
        <v>0</v>
      </c>
    </row>
    <row r="103" spans="1:16" ht="19.5" x14ac:dyDescent="0.3">
      <c r="A103" s="148"/>
      <c r="B103" s="149"/>
      <c r="C103" s="197" t="s">
        <v>16</v>
      </c>
      <c r="D103" s="395" t="s">
        <v>36</v>
      </c>
      <c r="E103" s="151"/>
      <c r="F103" s="151"/>
      <c r="G103" s="152"/>
      <c r="H103" s="153"/>
      <c r="I103" s="144"/>
      <c r="J103" s="45"/>
      <c r="K103" s="46"/>
      <c r="L103" s="46"/>
      <c r="M103" s="46"/>
      <c r="N103" s="46"/>
      <c r="O103" s="145"/>
      <c r="P103" s="145"/>
    </row>
    <row r="104" spans="1:16" ht="12.75" hidden="1" x14ac:dyDescent="0.2">
      <c r="A104" s="165"/>
      <c r="B104" s="166"/>
      <c r="C104" s="166"/>
      <c r="D104" s="16"/>
      <c r="E104" s="16"/>
      <c r="F104" s="16"/>
      <c r="G104" s="17"/>
      <c r="H104" s="17"/>
      <c r="I104" s="18"/>
      <c r="J104" s="18"/>
      <c r="K104" s="19"/>
      <c r="L104" s="19"/>
      <c r="M104" s="19"/>
      <c r="N104" s="19"/>
      <c r="O104" s="19"/>
      <c r="P104" s="19"/>
    </row>
    <row r="105" spans="1:16" ht="12.75" hidden="1" x14ac:dyDescent="0.2">
      <c r="A105" s="165"/>
      <c r="B105" s="166"/>
      <c r="C105" s="166"/>
      <c r="D105" s="16"/>
      <c r="E105" s="16"/>
      <c r="F105" s="16"/>
      <c r="G105" s="17"/>
      <c r="H105" s="17"/>
      <c r="I105" s="18"/>
      <c r="J105" s="18"/>
      <c r="K105" s="19"/>
      <c r="L105" s="19"/>
      <c r="M105" s="19"/>
      <c r="N105" s="19"/>
      <c r="O105" s="19"/>
      <c r="P105" s="19"/>
    </row>
    <row r="106" spans="1:16" ht="12.75" hidden="1" x14ac:dyDescent="0.2">
      <c r="A106" s="165"/>
      <c r="B106" s="166"/>
      <c r="C106" s="166"/>
      <c r="D106" s="166"/>
      <c r="E106" s="16"/>
      <c r="F106" s="16"/>
      <c r="G106" s="17"/>
      <c r="H106" s="17"/>
      <c r="I106" s="18"/>
      <c r="J106" s="18"/>
      <c r="K106" s="19"/>
      <c r="L106" s="19"/>
      <c r="M106" s="19"/>
      <c r="N106" s="19"/>
      <c r="O106" s="19"/>
      <c r="P106" s="19"/>
    </row>
    <row r="107" spans="1:16" ht="19.5" x14ac:dyDescent="0.3">
      <c r="A107" s="148"/>
      <c r="B107" s="149"/>
      <c r="C107" s="149"/>
      <c r="D107" s="167" t="s">
        <v>45</v>
      </c>
      <c r="E107" s="168"/>
      <c r="F107" s="155"/>
      <c r="G107" s="153"/>
      <c r="H107" s="43"/>
      <c r="I107" s="45"/>
      <c r="J107" s="45"/>
      <c r="K107" s="46"/>
      <c r="L107" s="46"/>
      <c r="M107" s="46"/>
      <c r="N107" s="46"/>
      <c r="O107" s="145"/>
      <c r="P107" s="145"/>
    </row>
    <row r="108" spans="1:16" ht="18.75" x14ac:dyDescent="0.25">
      <c r="A108" s="148"/>
      <c r="B108" s="149"/>
      <c r="C108" s="149"/>
      <c r="D108" s="159" t="s">
        <v>46</v>
      </c>
      <c r="E108" s="155"/>
      <c r="F108" s="155"/>
      <c r="G108" s="153"/>
      <c r="H108" s="44" t="s">
        <v>44</v>
      </c>
      <c r="I108" s="169">
        <f ca="1">IFERROR(__xludf.DUMMYFUNCTION("IMPORTRANGE(""https://docs.google.com/spreadsheets/d/1eHaY18a8A9IcSdp1K8H6x8fbOy06t2VsZHhMHf-1x7Y/edit?usp=sharing"",""แผน!N27"")"),30)</f>
        <v>30</v>
      </c>
      <c r="J108" s="250">
        <v>0</v>
      </c>
      <c r="K108" s="47">
        <f ca="1">IF(I108&gt;0,J108*100/I108,0)</f>
        <v>0</v>
      </c>
      <c r="L108" s="46"/>
      <c r="M108" s="46"/>
      <c r="N108" s="46"/>
      <c r="O108" s="145"/>
      <c r="P108" s="145"/>
    </row>
    <row r="109" spans="1:16" ht="18.75" x14ac:dyDescent="0.25">
      <c r="A109" s="148"/>
      <c r="B109" s="149"/>
      <c r="C109" s="149"/>
      <c r="D109" s="159" t="s">
        <v>47</v>
      </c>
      <c r="E109" s="155"/>
      <c r="F109" s="155"/>
      <c r="G109" s="153"/>
      <c r="H109" s="44" t="s">
        <v>33</v>
      </c>
      <c r="I109" s="169">
        <f ca="1">IFERROR(__xludf.DUMMYFUNCTION("IMPORTRANGE(""https://docs.google.com/spreadsheets/d/1eHaY18a8A9IcSdp1K8H6x8fbOy06t2VsZHhMHf-1x7Y/edit?usp=sharing"",""แผน!O27"")"),10)</f>
        <v>10</v>
      </c>
      <c r="J109" s="250">
        <v>0</v>
      </c>
      <c r="K109" s="47">
        <f ca="1">IF(I109&gt;0,J109*100/I109,0)</f>
        <v>0</v>
      </c>
      <c r="L109" s="46"/>
      <c r="M109" s="46"/>
      <c r="N109" s="46"/>
      <c r="O109" s="145"/>
      <c r="P109" s="145"/>
    </row>
    <row r="110" spans="1:16" ht="12.75" hidden="1" x14ac:dyDescent="0.2">
      <c r="A110" s="165"/>
      <c r="B110" s="166"/>
      <c r="C110" s="166"/>
      <c r="D110" s="16"/>
      <c r="E110" s="16"/>
      <c r="F110" s="16"/>
      <c r="G110" s="17"/>
      <c r="H110" s="17"/>
      <c r="I110" s="18"/>
      <c r="J110" s="18"/>
      <c r="K110" s="19"/>
      <c r="L110" s="19"/>
      <c r="M110" s="19"/>
      <c r="N110" s="19"/>
      <c r="O110" s="19"/>
      <c r="P110" s="19"/>
    </row>
    <row r="111" spans="1:16" ht="12.75" hidden="1" x14ac:dyDescent="0.2">
      <c r="A111" s="165"/>
      <c r="B111" s="166"/>
      <c r="C111" s="166"/>
      <c r="D111" s="16"/>
      <c r="E111" s="16"/>
      <c r="F111" s="16"/>
      <c r="G111" s="17"/>
      <c r="H111" s="17"/>
      <c r="I111" s="18"/>
      <c r="J111" s="18"/>
      <c r="K111" s="19"/>
      <c r="L111" s="19"/>
      <c r="M111" s="19"/>
      <c r="N111" s="19"/>
      <c r="O111" s="19"/>
      <c r="P111" s="19"/>
    </row>
    <row r="112" spans="1:16" ht="12.75" hidden="1" x14ac:dyDescent="0.2">
      <c r="A112" s="165"/>
      <c r="B112" s="166"/>
      <c r="C112" s="166"/>
      <c r="D112" s="16"/>
      <c r="E112" s="16"/>
      <c r="F112" s="16"/>
      <c r="G112" s="17"/>
      <c r="H112" s="17"/>
      <c r="I112" s="18"/>
      <c r="J112" s="18"/>
      <c r="K112" s="19"/>
      <c r="L112" s="19"/>
      <c r="M112" s="19"/>
      <c r="N112" s="19"/>
      <c r="O112" s="19"/>
      <c r="P112" s="19"/>
    </row>
    <row r="113" spans="1:16" ht="12.75" hidden="1" x14ac:dyDescent="0.2">
      <c r="A113" s="165"/>
      <c r="B113" s="166"/>
      <c r="C113" s="166"/>
      <c r="D113" s="16"/>
      <c r="E113" s="16"/>
      <c r="F113" s="16"/>
      <c r="G113" s="17"/>
      <c r="H113" s="17"/>
      <c r="I113" s="18"/>
      <c r="J113" s="18"/>
      <c r="K113" s="19"/>
      <c r="L113" s="19"/>
      <c r="M113" s="19"/>
      <c r="N113" s="19"/>
      <c r="O113" s="19"/>
      <c r="P113" s="19"/>
    </row>
    <row r="114" spans="1:16" ht="12.75" hidden="1" x14ac:dyDescent="0.2">
      <c r="A114" s="165"/>
      <c r="B114" s="166"/>
      <c r="C114" s="166"/>
      <c r="D114" s="16"/>
      <c r="E114" s="16"/>
      <c r="F114" s="16"/>
      <c r="G114" s="17"/>
      <c r="H114" s="17"/>
      <c r="I114" s="18"/>
      <c r="J114" s="18"/>
      <c r="K114" s="19"/>
      <c r="L114" s="19"/>
      <c r="M114" s="19"/>
      <c r="N114" s="19"/>
      <c r="O114" s="19"/>
      <c r="P114" s="19"/>
    </row>
    <row r="115" spans="1:16" ht="12.75" hidden="1" x14ac:dyDescent="0.2">
      <c r="A115" s="165"/>
      <c r="B115" s="166"/>
      <c r="C115" s="166"/>
      <c r="D115" s="16"/>
      <c r="E115" s="16"/>
      <c r="F115" s="16"/>
      <c r="G115" s="17"/>
      <c r="H115" s="17"/>
      <c r="I115" s="18"/>
      <c r="J115" s="18"/>
      <c r="K115" s="19"/>
      <c r="L115" s="19"/>
      <c r="M115" s="19"/>
      <c r="N115" s="19"/>
      <c r="O115" s="19"/>
      <c r="P115" s="19"/>
    </row>
    <row r="116" spans="1:16" ht="12.75" hidden="1" x14ac:dyDescent="0.2">
      <c r="A116" s="165"/>
      <c r="B116" s="166"/>
      <c r="C116" s="166"/>
      <c r="D116" s="16"/>
      <c r="E116" s="16"/>
      <c r="F116" s="16"/>
      <c r="G116" s="17"/>
      <c r="H116" s="17"/>
      <c r="I116" s="18"/>
      <c r="J116" s="18"/>
      <c r="K116" s="19"/>
      <c r="L116" s="19"/>
      <c r="M116" s="19"/>
      <c r="N116" s="19"/>
      <c r="O116" s="19"/>
      <c r="P116" s="19"/>
    </row>
    <row r="117" spans="1:16" ht="18.75" x14ac:dyDescent="0.25">
      <c r="A117" s="148"/>
      <c r="B117" s="149"/>
      <c r="C117" s="149"/>
      <c r="D117" s="159" t="s">
        <v>48</v>
      </c>
      <c r="E117" s="155"/>
      <c r="F117" s="155"/>
      <c r="G117" s="153"/>
      <c r="H117" s="251" t="s">
        <v>33</v>
      </c>
      <c r="I117" s="161">
        <f ca="1">IFERROR(__xludf.DUMMYFUNCTION("IMPORTRANGE(""https://docs.google.com/spreadsheets/d/1eHaY18a8A9IcSdp1K8H6x8fbOy06t2VsZHhMHf-1x7Y/edit?usp=sharing"",""แผน!R27"")"),10)</f>
        <v>10</v>
      </c>
      <c r="J117" s="250">
        <v>0</v>
      </c>
      <c r="K117" s="47">
        <f ca="1">IF(I117&gt;0,J117*100/I117,0)</f>
        <v>0</v>
      </c>
      <c r="L117" s="46"/>
      <c r="M117" s="46"/>
      <c r="N117" s="46"/>
      <c r="O117" s="145"/>
      <c r="P117" s="145"/>
    </row>
    <row r="118" spans="1:16" ht="12.75" hidden="1" x14ac:dyDescent="0.2">
      <c r="A118" s="165"/>
      <c r="B118" s="166"/>
      <c r="C118" s="166"/>
      <c r="D118" s="166"/>
      <c r="E118" s="16"/>
      <c r="F118" s="16"/>
      <c r="G118" s="17"/>
      <c r="H118" s="17"/>
      <c r="I118" s="18"/>
      <c r="J118" s="18"/>
      <c r="K118" s="19"/>
      <c r="L118" s="19"/>
      <c r="M118" s="19"/>
      <c r="N118" s="19"/>
      <c r="O118" s="19"/>
      <c r="P118" s="19"/>
    </row>
    <row r="119" spans="1:16" ht="12.75" hidden="1" x14ac:dyDescent="0.2">
      <c r="A119" s="165"/>
      <c r="B119" s="166"/>
      <c r="C119" s="166"/>
      <c r="D119" s="166"/>
      <c r="E119" s="16"/>
      <c r="F119" s="16"/>
      <c r="G119" s="17"/>
      <c r="H119" s="17"/>
      <c r="I119" s="18"/>
      <c r="J119" s="18"/>
      <c r="K119" s="19"/>
      <c r="L119" s="19"/>
      <c r="M119" s="19"/>
      <c r="N119" s="19"/>
      <c r="O119" s="19"/>
      <c r="P119" s="19"/>
    </row>
    <row r="120" spans="1:16" ht="12.75" hidden="1" x14ac:dyDescent="0.2">
      <c r="A120" s="165"/>
      <c r="B120" s="166"/>
      <c r="C120" s="166"/>
      <c r="D120" s="166"/>
      <c r="E120" s="16"/>
      <c r="F120" s="16"/>
      <c r="G120" s="17"/>
      <c r="H120" s="17"/>
      <c r="I120" s="18"/>
      <c r="J120" s="18"/>
      <c r="K120" s="19"/>
      <c r="L120" s="19"/>
      <c r="M120" s="19"/>
      <c r="N120" s="19"/>
      <c r="O120" s="19"/>
      <c r="P120" s="19"/>
    </row>
    <row r="121" spans="1:16" ht="12.75" hidden="1" x14ac:dyDescent="0.2">
      <c r="A121" s="165"/>
      <c r="B121" s="166"/>
      <c r="C121" s="166"/>
      <c r="D121" s="166"/>
      <c r="E121" s="16"/>
      <c r="F121" s="16"/>
      <c r="G121" s="17"/>
      <c r="H121" s="17"/>
      <c r="I121" s="18"/>
      <c r="J121" s="18"/>
      <c r="K121" s="19"/>
      <c r="L121" s="19"/>
      <c r="M121" s="19"/>
      <c r="N121" s="19"/>
      <c r="O121" s="19"/>
      <c r="P121" s="19"/>
    </row>
    <row r="122" spans="1:16" ht="12.75" hidden="1" x14ac:dyDescent="0.2">
      <c r="A122" s="165"/>
      <c r="B122" s="166"/>
      <c r="C122" s="166"/>
      <c r="D122" s="166"/>
      <c r="E122" s="16"/>
      <c r="F122" s="16"/>
      <c r="G122" s="17"/>
      <c r="H122" s="17"/>
      <c r="I122" s="18"/>
      <c r="J122" s="18"/>
      <c r="K122" s="19"/>
      <c r="L122" s="19"/>
      <c r="M122" s="19"/>
      <c r="N122" s="19"/>
      <c r="O122" s="19"/>
      <c r="P122" s="19"/>
    </row>
    <row r="123" spans="1:16" ht="19.5" hidden="1" x14ac:dyDescent="0.3">
      <c r="A123" s="170" t="s">
        <v>49</v>
      </c>
      <c r="B123" s="16"/>
      <c r="C123" s="171"/>
      <c r="D123" s="16"/>
      <c r="E123" s="16"/>
      <c r="F123" s="16"/>
      <c r="G123" s="16"/>
      <c r="H123" s="16"/>
      <c r="I123" s="172"/>
      <c r="J123" s="172"/>
      <c r="K123" s="173"/>
      <c r="L123" s="19"/>
      <c r="M123" s="19"/>
      <c r="N123" s="19"/>
      <c r="O123" s="19"/>
      <c r="P123" s="19"/>
    </row>
    <row r="124" spans="1:16" ht="19.5" hidden="1" x14ac:dyDescent="0.3">
      <c r="A124" s="174"/>
      <c r="B124" s="178" t="s">
        <v>50</v>
      </c>
      <c r="C124" s="171"/>
      <c r="D124" s="166"/>
      <c r="E124" s="16"/>
      <c r="F124" s="16"/>
      <c r="G124" s="17"/>
      <c r="H124" s="17"/>
      <c r="I124" s="176">
        <v>0</v>
      </c>
      <c r="J124" s="176">
        <v>0</v>
      </c>
      <c r="K124" s="177">
        <v>0</v>
      </c>
      <c r="L124" s="19"/>
      <c r="M124" s="19"/>
      <c r="N124" s="19"/>
      <c r="O124" s="19"/>
      <c r="P124" s="19"/>
    </row>
    <row r="125" spans="1:16" ht="19.5" hidden="1" x14ac:dyDescent="0.3">
      <c r="A125" s="174"/>
      <c r="B125" s="16"/>
      <c r="C125" s="178" t="s">
        <v>16</v>
      </c>
      <c r="D125" s="402" t="s">
        <v>17</v>
      </c>
      <c r="E125" s="16"/>
      <c r="F125" s="16"/>
      <c r="G125" s="17"/>
      <c r="H125" s="180" t="s">
        <v>12</v>
      </c>
      <c r="I125" s="18"/>
      <c r="J125" s="18"/>
      <c r="K125" s="19"/>
      <c r="L125" s="181">
        <f ca="1">L126+L127</f>
        <v>0</v>
      </c>
      <c r="M125" s="181">
        <f ca="1">M126+M127</f>
        <v>0</v>
      </c>
      <c r="N125" s="181">
        <f ca="1">N126+N127</f>
        <v>0</v>
      </c>
      <c r="O125" s="181">
        <f ca="1">IF(L125&gt;0,N125*100/L125,0)</f>
        <v>0</v>
      </c>
      <c r="P125" s="181">
        <f ca="1">IF(M125&gt;0,N125*100/M125,0)</f>
        <v>0</v>
      </c>
    </row>
    <row r="126" spans="1:16" ht="18.75" hidden="1" x14ac:dyDescent="0.25">
      <c r="A126" s="174"/>
      <c r="B126" s="16"/>
      <c r="C126" s="16"/>
      <c r="D126" s="16"/>
      <c r="E126" s="182" t="s">
        <v>18</v>
      </c>
      <c r="F126" s="16"/>
      <c r="G126" s="17"/>
      <c r="H126" s="183" t="s">
        <v>12</v>
      </c>
      <c r="I126" s="18"/>
      <c r="J126" s="18"/>
      <c r="K126" s="19"/>
      <c r="L126" s="184">
        <f>L129+L132</f>
        <v>0</v>
      </c>
      <c r="M126" s="184">
        <f>M129+M132</f>
        <v>0</v>
      </c>
      <c r="N126" s="184">
        <f>N129+N132</f>
        <v>0</v>
      </c>
      <c r="O126" s="184">
        <f>IF(L126&gt;0,N126*100/L126,0)</f>
        <v>0</v>
      </c>
      <c r="P126" s="184">
        <f>IF(M126&gt;0,N126*100/M126,0)</f>
        <v>0</v>
      </c>
    </row>
    <row r="127" spans="1:16" ht="18.75" hidden="1" x14ac:dyDescent="0.25">
      <c r="A127" s="174"/>
      <c r="B127" s="16"/>
      <c r="C127" s="16"/>
      <c r="D127" s="16"/>
      <c r="E127" s="185" t="s">
        <v>19</v>
      </c>
      <c r="F127" s="16"/>
      <c r="G127" s="17"/>
      <c r="H127" s="186" t="s">
        <v>12</v>
      </c>
      <c r="I127" s="18"/>
      <c r="J127" s="18"/>
      <c r="K127" s="19"/>
      <c r="L127" s="177">
        <f ca="1">L130+L133</f>
        <v>0</v>
      </c>
      <c r="M127" s="177">
        <f ca="1">M130+M133</f>
        <v>0</v>
      </c>
      <c r="N127" s="177">
        <f ca="1">N130+N133</f>
        <v>0</v>
      </c>
      <c r="O127" s="177">
        <f ca="1">IF(L127&gt;0,N127*100/L127,0)</f>
        <v>0</v>
      </c>
      <c r="P127" s="177">
        <f ca="1">IF(M127&gt;0,N127*100/M127,0)</f>
        <v>0</v>
      </c>
    </row>
    <row r="128" spans="1:16" ht="18.75" hidden="1" x14ac:dyDescent="0.25">
      <c r="A128" s="174"/>
      <c r="B128" s="16"/>
      <c r="C128" s="16"/>
      <c r="D128" s="401" t="s">
        <v>20</v>
      </c>
      <c r="E128" s="16"/>
      <c r="F128" s="16"/>
      <c r="G128" s="17"/>
      <c r="H128" s="188" t="s">
        <v>12</v>
      </c>
      <c r="I128" s="18"/>
      <c r="J128" s="18"/>
      <c r="K128" s="19"/>
      <c r="L128" s="177">
        <f ca="1">L129+L130</f>
        <v>0</v>
      </c>
      <c r="M128" s="177">
        <f ca="1">M129+M130</f>
        <v>0</v>
      </c>
      <c r="N128" s="177">
        <f ca="1">N129+N130</f>
        <v>0</v>
      </c>
      <c r="O128" s="177">
        <f ca="1">IF(L128&gt;0,N128*100/L128,0)</f>
        <v>0</v>
      </c>
      <c r="P128" s="177">
        <f ca="1">IF(M128&gt;0,N128*100/M128,0)</f>
        <v>0</v>
      </c>
    </row>
    <row r="129" spans="1:16" ht="18.75" hidden="1" x14ac:dyDescent="0.25">
      <c r="A129" s="174"/>
      <c r="B129" s="16"/>
      <c r="C129" s="16"/>
      <c r="D129" s="16"/>
      <c r="E129" s="182" t="s">
        <v>34</v>
      </c>
      <c r="F129" s="16"/>
      <c r="G129" s="17"/>
      <c r="H129" s="189" t="s">
        <v>12</v>
      </c>
      <c r="I129" s="18"/>
      <c r="J129" s="18"/>
      <c r="K129" s="19"/>
      <c r="L129" s="184">
        <v>0</v>
      </c>
      <c r="M129" s="184">
        <v>0</v>
      </c>
      <c r="N129" s="184">
        <v>0</v>
      </c>
      <c r="O129" s="184">
        <f>IF(L129&gt;0,N129*100/L129,0)</f>
        <v>0</v>
      </c>
      <c r="P129" s="184">
        <f>IF(M129&gt;0,N129*100/M129,0)</f>
        <v>0</v>
      </c>
    </row>
    <row r="130" spans="1:16" ht="18.75" hidden="1" x14ac:dyDescent="0.25">
      <c r="A130" s="174"/>
      <c r="B130" s="16"/>
      <c r="C130" s="16"/>
      <c r="D130" s="16"/>
      <c r="E130" s="185" t="s">
        <v>35</v>
      </c>
      <c r="F130" s="16"/>
      <c r="G130" s="17"/>
      <c r="H130" s="188" t="s">
        <v>12</v>
      </c>
      <c r="I130" s="18"/>
      <c r="J130" s="18"/>
      <c r="K130" s="19"/>
      <c r="L130" s="177">
        <f ca="1">IFERROR(__xludf.DUMMYFUNCTION("IMPORTRANGE(""https://docs.google.com/spreadsheets/d/1-uDff_7J0KD5mKrp0Vvzr7lt3OU09vwQwhkpOPPYv2Y/edit?usp=sharing"",""งบพรบ!BG27"")"),0)</f>
        <v>0</v>
      </c>
      <c r="M130" s="177">
        <f ca="1">IFERROR(__xludf.DUMMYFUNCTION("IMPORTRANGE(""https://docs.google.com/spreadsheets/d/1-uDff_7J0KD5mKrp0Vvzr7lt3OU09vwQwhkpOPPYv2Y/edit?usp=sharing"",""งบพรบ!BL27"")"),0)</f>
        <v>0</v>
      </c>
      <c r="N130" s="177">
        <f ca="1">IFERROR(__xludf.DUMMYFUNCTION("IMPORTRANGE(""https://docs.google.com/spreadsheets/d/1-uDff_7J0KD5mKrp0Vvzr7lt3OU09vwQwhkpOPPYv2Y/edit?usp=sharing"",""งบพรบ!BN27"")"),0)</f>
        <v>0</v>
      </c>
      <c r="O130" s="177">
        <f ca="1">IF(L130&gt;0,N130*100/L130,0)</f>
        <v>0</v>
      </c>
      <c r="P130" s="177">
        <f ca="1">IF(M130&gt;0,N130*100/M130,0)</f>
        <v>0</v>
      </c>
    </row>
    <row r="131" spans="1:16" ht="18.75" hidden="1" x14ac:dyDescent="0.25">
      <c r="A131" s="174"/>
      <c r="B131" s="16"/>
      <c r="C131" s="16"/>
      <c r="D131" s="401" t="s">
        <v>21</v>
      </c>
      <c r="E131" s="16"/>
      <c r="F131" s="16"/>
      <c r="G131" s="17"/>
      <c r="H131" s="186" t="s">
        <v>12</v>
      </c>
      <c r="I131" s="18"/>
      <c r="J131" s="18"/>
      <c r="K131" s="19"/>
      <c r="L131" s="177">
        <f ca="1">L132+L133</f>
        <v>0</v>
      </c>
      <c r="M131" s="177">
        <f ca="1">M132+M133</f>
        <v>0</v>
      </c>
      <c r="N131" s="177">
        <f ca="1">N132+N133</f>
        <v>0</v>
      </c>
      <c r="O131" s="177">
        <f ca="1">IF(L131&gt;0,N131*100/L131,0)</f>
        <v>0</v>
      </c>
      <c r="P131" s="177">
        <f ca="1">IF(M131&gt;0,N131*100/M131,0)</f>
        <v>0</v>
      </c>
    </row>
    <row r="132" spans="1:16" ht="18.75" hidden="1" x14ac:dyDescent="0.25">
      <c r="A132" s="174"/>
      <c r="B132" s="16"/>
      <c r="C132" s="16"/>
      <c r="D132" s="16"/>
      <c r="E132" s="182" t="s">
        <v>18</v>
      </c>
      <c r="F132" s="16"/>
      <c r="G132" s="17"/>
      <c r="H132" s="189" t="s">
        <v>12</v>
      </c>
      <c r="I132" s="18"/>
      <c r="J132" s="18"/>
      <c r="K132" s="19"/>
      <c r="L132" s="184">
        <v>0</v>
      </c>
      <c r="M132" s="184">
        <v>0</v>
      </c>
      <c r="N132" s="184">
        <v>0</v>
      </c>
      <c r="O132" s="184">
        <f>IF(L132&gt;0,N132*100/L132,0)</f>
        <v>0</v>
      </c>
      <c r="P132" s="184">
        <f>IF(M132&gt;0,N132*100/M132,0)</f>
        <v>0</v>
      </c>
    </row>
    <row r="133" spans="1:16" ht="18.75" hidden="1" x14ac:dyDescent="0.25">
      <c r="A133" s="174"/>
      <c r="B133" s="16"/>
      <c r="C133" s="16"/>
      <c r="D133" s="16"/>
      <c r="E133" s="185" t="s">
        <v>19</v>
      </c>
      <c r="F133" s="16"/>
      <c r="G133" s="17"/>
      <c r="H133" s="186" t="s">
        <v>12</v>
      </c>
      <c r="I133" s="18"/>
      <c r="J133" s="18"/>
      <c r="K133" s="19"/>
      <c r="L133" s="177">
        <f ca="1">IFERROR(__xludf.DUMMYFUNCTION("IMPORTRANGE(""https://docs.google.com/spreadsheets/d/1-uDff_7J0KD5mKrp0Vvzr7lt3OU09vwQwhkpOPPYv2Y/edit?usp=sharing"",""งบพรบ!BJ27"")"),0)</f>
        <v>0</v>
      </c>
      <c r="M133" s="177">
        <f ca="1">IFERROR(__xludf.DUMMYFUNCTION("IMPORTRANGE(""https://docs.google.com/spreadsheets/d/1-uDff_7J0KD5mKrp0Vvzr7lt3OU09vwQwhkpOPPYv2Y/edit?usp=sharing"",""งบพรบ!BM27"")"),0)</f>
        <v>0</v>
      </c>
      <c r="N133" s="177">
        <f ca="1">IFERROR(__xludf.DUMMYFUNCTION("IMPORTRANGE(""https://docs.google.com/spreadsheets/d/1-uDff_7J0KD5mKrp0Vvzr7lt3OU09vwQwhkpOPPYv2Y/edit?usp=sharing"",""งบพรบ!BO27"")"),0)</f>
        <v>0</v>
      </c>
      <c r="O133" s="177">
        <f ca="1">IF(L133&gt;0,N133*100/L133,0)</f>
        <v>0</v>
      </c>
      <c r="P133" s="177">
        <f ca="1">IF(M133&gt;0,N133*100/M133,0)</f>
        <v>0</v>
      </c>
    </row>
    <row r="134" spans="1:16" ht="19.5" hidden="1" x14ac:dyDescent="0.3">
      <c r="A134" s="125" t="s">
        <v>51</v>
      </c>
      <c r="B134" s="126"/>
      <c r="C134" s="190"/>
      <c r="D134" s="126"/>
      <c r="E134" s="126"/>
      <c r="F134" s="126"/>
      <c r="G134" s="126"/>
      <c r="H134" s="126"/>
      <c r="I134" s="191"/>
      <c r="J134" s="191"/>
      <c r="K134" s="192"/>
      <c r="L134" s="130"/>
      <c r="M134" s="130"/>
      <c r="N134" s="130"/>
      <c r="O134" s="130"/>
      <c r="P134" s="130"/>
    </row>
    <row r="135" spans="1:16" ht="19.5" hidden="1" x14ac:dyDescent="0.3">
      <c r="A135" s="131"/>
      <c r="B135" s="132" t="s">
        <v>52</v>
      </c>
      <c r="C135" s="193"/>
      <c r="D135" s="133"/>
      <c r="E135" s="26"/>
      <c r="F135" s="26"/>
      <c r="G135" s="26"/>
      <c r="H135" s="26"/>
      <c r="I135" s="194"/>
      <c r="J135" s="31"/>
      <c r="K135" s="32"/>
      <c r="L135" s="32"/>
      <c r="M135" s="32"/>
      <c r="N135" s="32"/>
      <c r="O135" s="32"/>
      <c r="P135" s="32"/>
    </row>
    <row r="136" spans="1:16" ht="19.5" hidden="1" x14ac:dyDescent="0.3">
      <c r="A136" s="131"/>
      <c r="B136" s="26"/>
      <c r="C136" s="195" t="s">
        <v>53</v>
      </c>
      <c r="D136" s="133"/>
      <c r="E136" s="26"/>
      <c r="F136" s="26"/>
      <c r="G136" s="29"/>
      <c r="H136" s="134" t="s">
        <v>54</v>
      </c>
      <c r="I136" s="135">
        <f ca="1">I154</f>
        <v>0</v>
      </c>
      <c r="J136" s="135">
        <f>J154</f>
        <v>0</v>
      </c>
      <c r="K136" s="33">
        <f ca="1">IF(I136&gt;0,J136*100/I136,0)</f>
        <v>0</v>
      </c>
      <c r="L136" s="32"/>
      <c r="M136" s="32"/>
      <c r="N136" s="32"/>
      <c r="O136" s="32"/>
      <c r="P136" s="32"/>
    </row>
    <row r="137" spans="1:16" ht="19.5" hidden="1" x14ac:dyDescent="0.3">
      <c r="A137" s="131"/>
      <c r="B137" s="26"/>
      <c r="C137" s="195" t="s">
        <v>55</v>
      </c>
      <c r="D137" s="133"/>
      <c r="E137" s="26"/>
      <c r="F137" s="26"/>
      <c r="G137" s="29"/>
      <c r="H137" s="134" t="s">
        <v>33</v>
      </c>
      <c r="I137" s="135">
        <f ca="1">I152</f>
        <v>0</v>
      </c>
      <c r="J137" s="135">
        <f>J152</f>
        <v>0</v>
      </c>
      <c r="K137" s="33">
        <f ca="1">IF(I137&gt;0,J137*100/I137,0)</f>
        <v>0</v>
      </c>
      <c r="L137" s="32"/>
      <c r="M137" s="32"/>
      <c r="N137" s="32"/>
      <c r="O137" s="32"/>
      <c r="P137" s="32"/>
    </row>
    <row r="138" spans="1:16" ht="19.5" hidden="1" x14ac:dyDescent="0.3">
      <c r="A138" s="131"/>
      <c r="B138" s="26"/>
      <c r="C138" s="193"/>
      <c r="D138" s="133"/>
      <c r="E138" s="26"/>
      <c r="F138" s="26"/>
      <c r="G138" s="29"/>
      <c r="H138" s="134" t="s">
        <v>56</v>
      </c>
      <c r="I138" s="135">
        <f ca="1">I153</f>
        <v>0</v>
      </c>
      <c r="J138" s="135">
        <f>J153</f>
        <v>0</v>
      </c>
      <c r="K138" s="33">
        <f ca="1">IF(I138&gt;0,J138*100/I138,0)</f>
        <v>0</v>
      </c>
      <c r="L138" s="32"/>
      <c r="M138" s="32"/>
      <c r="N138" s="32"/>
      <c r="O138" s="32"/>
      <c r="P138" s="32"/>
    </row>
    <row r="139" spans="1:16" ht="19.5" hidden="1" x14ac:dyDescent="0.3">
      <c r="A139" s="136"/>
      <c r="B139" s="41"/>
      <c r="C139" s="197" t="s">
        <v>16</v>
      </c>
      <c r="D139" s="397" t="s">
        <v>17</v>
      </c>
      <c r="E139" s="41"/>
      <c r="F139" s="41"/>
      <c r="G139" s="43"/>
      <c r="H139" s="139" t="s">
        <v>12</v>
      </c>
      <c r="I139" s="45"/>
      <c r="J139" s="45"/>
      <c r="K139" s="46"/>
      <c r="L139" s="140">
        <f ca="1">L140+L141</f>
        <v>0</v>
      </c>
      <c r="M139" s="140">
        <f ca="1">M140+M141</f>
        <v>0</v>
      </c>
      <c r="N139" s="140">
        <f ca="1">N140+N141</f>
        <v>0</v>
      </c>
      <c r="O139" s="140">
        <f ca="1">IF(L139&gt;0,N139*100/L139,0)</f>
        <v>0</v>
      </c>
      <c r="P139" s="140">
        <f ca="1">IF(M139&gt;0,N139*100/M139,0)</f>
        <v>0</v>
      </c>
    </row>
    <row r="140" spans="1:16" ht="18.75" hidden="1" x14ac:dyDescent="0.25">
      <c r="A140" s="136"/>
      <c r="B140" s="41"/>
      <c r="C140" s="41"/>
      <c r="D140" s="41"/>
      <c r="E140" s="279" t="s">
        <v>18</v>
      </c>
      <c r="F140" s="41"/>
      <c r="G140" s="43"/>
      <c r="H140" s="141" t="s">
        <v>12</v>
      </c>
      <c r="I140" s="45"/>
      <c r="J140" s="45"/>
      <c r="K140" s="46"/>
      <c r="L140" s="50">
        <f>L143+L146</f>
        <v>0</v>
      </c>
      <c r="M140" s="50">
        <f>M143+M146</f>
        <v>0</v>
      </c>
      <c r="N140" s="50">
        <f>N143+N146</f>
        <v>0</v>
      </c>
      <c r="O140" s="50">
        <f>IF(L140&gt;0,N140*100/L140,0)</f>
        <v>0</v>
      </c>
      <c r="P140" s="50">
        <f>IF(M140&gt;0,N140*100/M140,0)</f>
        <v>0</v>
      </c>
    </row>
    <row r="141" spans="1:16" ht="18.75" hidden="1" x14ac:dyDescent="0.25">
      <c r="A141" s="136"/>
      <c r="B141" s="41"/>
      <c r="C141" s="41"/>
      <c r="D141" s="41"/>
      <c r="E141" s="254" t="s">
        <v>19</v>
      </c>
      <c r="F141" s="41"/>
      <c r="G141" s="43"/>
      <c r="H141" s="142" t="s">
        <v>12</v>
      </c>
      <c r="I141" s="45"/>
      <c r="J141" s="45"/>
      <c r="K141" s="46"/>
      <c r="L141" s="47">
        <f ca="1">L144+L147</f>
        <v>0</v>
      </c>
      <c r="M141" s="47">
        <f ca="1">M144+M147</f>
        <v>0</v>
      </c>
      <c r="N141" s="47">
        <f ca="1">N144+N147</f>
        <v>0</v>
      </c>
      <c r="O141" s="47">
        <f ca="1">IF(L141&gt;0,N141*100/L141,0)</f>
        <v>0</v>
      </c>
      <c r="P141" s="47">
        <f ca="1">IF(M141&gt;0,N141*100/M141,0)</f>
        <v>0</v>
      </c>
    </row>
    <row r="142" spans="1:16" ht="18.75" hidden="1" x14ac:dyDescent="0.25">
      <c r="A142" s="136"/>
      <c r="B142" s="41"/>
      <c r="C142" s="41"/>
      <c r="D142" s="42" t="s">
        <v>20</v>
      </c>
      <c r="E142" s="41"/>
      <c r="F142" s="41"/>
      <c r="G142" s="43"/>
      <c r="H142" s="143" t="s">
        <v>12</v>
      </c>
      <c r="I142" s="144"/>
      <c r="J142" s="144"/>
      <c r="K142" s="145"/>
      <c r="L142" s="47">
        <f ca="1">L143+L144</f>
        <v>0</v>
      </c>
      <c r="M142" s="47">
        <f ca="1">M143+M144</f>
        <v>0</v>
      </c>
      <c r="N142" s="47">
        <f ca="1">N143+N144</f>
        <v>0</v>
      </c>
      <c r="O142" s="47">
        <f ca="1">IF(L142&gt;0,N142*100/L142,0)</f>
        <v>0</v>
      </c>
      <c r="P142" s="47">
        <f ca="1">IF(M142&gt;0,N142*100/M142,0)</f>
        <v>0</v>
      </c>
    </row>
    <row r="143" spans="1:16" ht="18.75" hidden="1" x14ac:dyDescent="0.25">
      <c r="A143" s="136"/>
      <c r="B143" s="41"/>
      <c r="C143" s="41"/>
      <c r="D143" s="41"/>
      <c r="E143" s="279" t="s">
        <v>34</v>
      </c>
      <c r="F143" s="41"/>
      <c r="G143" s="43"/>
      <c r="H143" s="146" t="s">
        <v>12</v>
      </c>
      <c r="I143" s="144"/>
      <c r="J143" s="144"/>
      <c r="K143" s="145"/>
      <c r="L143" s="50">
        <v>0</v>
      </c>
      <c r="M143" s="50">
        <v>0</v>
      </c>
      <c r="N143" s="50">
        <v>0</v>
      </c>
      <c r="O143" s="50">
        <f>IF(L143&gt;0,N143*100/L143,0)</f>
        <v>0</v>
      </c>
      <c r="P143" s="50">
        <f>IF(M143&gt;0,N143*100/M143,0)</f>
        <v>0</v>
      </c>
    </row>
    <row r="144" spans="1:16" ht="18.75" hidden="1" x14ac:dyDescent="0.25">
      <c r="A144" s="136"/>
      <c r="B144" s="41"/>
      <c r="C144" s="41"/>
      <c r="D144" s="41"/>
      <c r="E144" s="254" t="s">
        <v>35</v>
      </c>
      <c r="F144" s="41"/>
      <c r="G144" s="43"/>
      <c r="H144" s="143" t="s">
        <v>12</v>
      </c>
      <c r="I144" s="144"/>
      <c r="J144" s="144"/>
      <c r="K144" s="145"/>
      <c r="L144" s="47">
        <f ca="1">IFERROR(__xludf.DUMMYFUNCTION("IMPORTRANGE(""https://docs.google.com/spreadsheets/d/1-uDff_7J0KD5mKrp0Vvzr7lt3OU09vwQwhkpOPPYv2Y/edit?usp=sharing"",""งบพรบ!BQ27"")"),0)</f>
        <v>0</v>
      </c>
      <c r="M144" s="47">
        <f ca="1">IFERROR(__xludf.DUMMYFUNCTION("IMPORTRANGE(""https://docs.google.com/spreadsheets/d/1-uDff_7J0KD5mKrp0Vvzr7lt3OU09vwQwhkpOPPYv2Y/edit?usp=sharing"",""งบพรบ!BV27"")"),0)</f>
        <v>0</v>
      </c>
      <c r="N144" s="47">
        <f ca="1">IFERROR(__xludf.DUMMYFUNCTION("IMPORTRANGE(""https://docs.google.com/spreadsheets/d/1-uDff_7J0KD5mKrp0Vvzr7lt3OU09vwQwhkpOPPYv2Y/edit?usp=sharing"",""งบพรบ!BX27"")"),0)</f>
        <v>0</v>
      </c>
      <c r="O144" s="47">
        <f ca="1">IF(L144&gt;0,N144*100/L144,0)</f>
        <v>0</v>
      </c>
      <c r="P144" s="47">
        <f ca="1">IF(M144&gt;0,N144*100/M144,0)</f>
        <v>0</v>
      </c>
    </row>
    <row r="145" spans="1:16" ht="18.75" hidden="1" x14ac:dyDescent="0.25">
      <c r="A145" s="136"/>
      <c r="B145" s="41"/>
      <c r="C145" s="41"/>
      <c r="D145" s="42" t="s">
        <v>21</v>
      </c>
      <c r="E145" s="41"/>
      <c r="F145" s="41"/>
      <c r="G145" s="43"/>
      <c r="H145" s="147" t="s">
        <v>12</v>
      </c>
      <c r="I145" s="144"/>
      <c r="J145" s="144"/>
      <c r="K145" s="145"/>
      <c r="L145" s="47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</row>
    <row r="146" spans="1:16" ht="18.75" hidden="1" x14ac:dyDescent="0.25">
      <c r="A146" s="136"/>
      <c r="B146" s="41"/>
      <c r="C146" s="41"/>
      <c r="D146" s="41"/>
      <c r="E146" s="279" t="s">
        <v>18</v>
      </c>
      <c r="F146" s="41"/>
      <c r="G146" s="43"/>
      <c r="H146" s="146" t="s">
        <v>12</v>
      </c>
      <c r="I146" s="144"/>
      <c r="J146" s="144"/>
      <c r="K146" s="145"/>
      <c r="L146" s="50">
        <v>0</v>
      </c>
      <c r="M146" s="50">
        <v>0</v>
      </c>
      <c r="N146" s="50">
        <v>0</v>
      </c>
      <c r="O146" s="50">
        <f>IF(L146&gt;0,N146*100/L146,0)</f>
        <v>0</v>
      </c>
      <c r="P146" s="50">
        <f>IF(M146&gt;0,N146*100/M146,0)</f>
        <v>0</v>
      </c>
    </row>
    <row r="147" spans="1:16" ht="18.75" hidden="1" x14ac:dyDescent="0.25">
      <c r="A147" s="136"/>
      <c r="B147" s="41"/>
      <c r="C147" s="41"/>
      <c r="D147" s="41"/>
      <c r="E147" s="254" t="s">
        <v>19</v>
      </c>
      <c r="F147" s="41"/>
      <c r="G147" s="43"/>
      <c r="H147" s="147" t="s">
        <v>12</v>
      </c>
      <c r="I147" s="144"/>
      <c r="J147" s="144"/>
      <c r="K147" s="145"/>
      <c r="L147" s="47">
        <f ca="1">IFERROR(__xludf.DUMMYFUNCTION("IMPORTRANGE(""https://docs.google.com/spreadsheets/d/1-uDff_7J0KD5mKrp0Vvzr7lt3OU09vwQwhkpOPPYv2Y/edit?usp=sharing"",""งบพรบ!BT27"")"),0)</f>
        <v>0</v>
      </c>
      <c r="M147" s="47">
        <f ca="1">IFERROR(__xludf.DUMMYFUNCTION("IMPORTRANGE(""https://docs.google.com/spreadsheets/d/1-uDff_7J0KD5mKrp0Vvzr7lt3OU09vwQwhkpOPPYv2Y/edit?usp=sharing"",""งบพรบ!BW27"")"),0)</f>
        <v>0</v>
      </c>
      <c r="N147" s="47">
        <f ca="1">IFERROR(__xludf.DUMMYFUNCTION("IMPORTRANGE(""https://docs.google.com/spreadsheets/d/1-uDff_7J0KD5mKrp0Vvzr7lt3OU09vwQwhkpOPPYv2Y/edit?usp=sharing"",""งบพรบ!BY27"")"),0)</f>
        <v>0</v>
      </c>
      <c r="O147" s="47">
        <f ca="1">IF(L147&gt;0,N147*100/L147,0)</f>
        <v>0</v>
      </c>
      <c r="P147" s="47">
        <f ca="1">IF(M147&gt;0,N147*100/M147,0)</f>
        <v>0</v>
      </c>
    </row>
    <row r="148" spans="1:16" ht="19.5" hidden="1" x14ac:dyDescent="0.3">
      <c r="A148" s="148"/>
      <c r="B148" s="149"/>
      <c r="C148" s="197" t="s">
        <v>16</v>
      </c>
      <c r="D148" s="395" t="s">
        <v>36</v>
      </c>
      <c r="E148" s="151"/>
      <c r="F148" s="151"/>
      <c r="G148" s="152"/>
      <c r="H148" s="196"/>
      <c r="I148" s="45"/>
      <c r="J148" s="45"/>
      <c r="K148" s="46"/>
      <c r="L148" s="46"/>
      <c r="M148" s="46"/>
      <c r="N148" s="46"/>
      <c r="O148" s="46"/>
      <c r="P148" s="46"/>
    </row>
    <row r="149" spans="1:16" ht="18.75" hidden="1" x14ac:dyDescent="0.25">
      <c r="A149" s="136"/>
      <c r="B149" s="41"/>
      <c r="C149" s="41"/>
      <c r="D149" s="254" t="s">
        <v>57</v>
      </c>
      <c r="E149" s="41"/>
      <c r="F149" s="41"/>
      <c r="G149" s="43"/>
      <c r="H149" s="196"/>
      <c r="I149" s="45"/>
      <c r="J149" s="250">
        <v>0</v>
      </c>
      <c r="K149" s="46"/>
      <c r="L149" s="46"/>
      <c r="M149" s="46"/>
      <c r="N149" s="46"/>
      <c r="O149" s="46"/>
      <c r="P149" s="46"/>
    </row>
    <row r="150" spans="1:16" ht="19.5" hidden="1" x14ac:dyDescent="0.3">
      <c r="A150" s="136"/>
      <c r="B150" s="41"/>
      <c r="C150" s="41"/>
      <c r="D150" s="155"/>
      <c r="E150" s="197" t="s">
        <v>58</v>
      </c>
      <c r="F150" s="41"/>
      <c r="G150" s="43"/>
      <c r="H150" s="147" t="s">
        <v>33</v>
      </c>
      <c r="I150" s="169">
        <f ca="1">IFERROR(__xludf.DUMMYFUNCTION("IMPORTRANGE(""https://docs.google.com/spreadsheets/d/1eHaY18a8A9IcSdp1K8H6x8fbOy06t2VsZHhMHf-1x7Y/edit?usp=sharing"",""แผน!U27"")"),0)</f>
        <v>0</v>
      </c>
      <c r="J150" s="250">
        <v>0</v>
      </c>
      <c r="K150" s="47">
        <f ca="1">IF(I150&gt;0,J150*100/I150,0)</f>
        <v>0</v>
      </c>
      <c r="L150" s="46"/>
      <c r="M150" s="46"/>
      <c r="N150" s="46"/>
      <c r="O150" s="46"/>
      <c r="P150" s="46"/>
    </row>
    <row r="151" spans="1:16" ht="18.75" hidden="1" x14ac:dyDescent="0.25">
      <c r="A151" s="136"/>
      <c r="B151" s="41"/>
      <c r="C151" s="41"/>
      <c r="D151" s="155"/>
      <c r="E151" s="41"/>
      <c r="F151" s="41"/>
      <c r="G151" s="43"/>
      <c r="H151" s="147" t="s">
        <v>56</v>
      </c>
      <c r="I151" s="169">
        <f ca="1">IFERROR(__xludf.DUMMYFUNCTION("IMPORTRANGE(""https://docs.google.com/spreadsheets/d/1eHaY18a8A9IcSdp1K8H6x8fbOy06t2VsZHhMHf-1x7Y/edit?usp=sharing"",""แผน!V27"")"),0)</f>
        <v>0</v>
      </c>
      <c r="J151" s="250">
        <v>0</v>
      </c>
      <c r="K151" s="47">
        <f ca="1">IF(I151&gt;0,J151*100/I151,0)</f>
        <v>0</v>
      </c>
      <c r="L151" s="46"/>
      <c r="M151" s="46"/>
      <c r="N151" s="46"/>
      <c r="O151" s="46"/>
      <c r="P151" s="46"/>
    </row>
    <row r="152" spans="1:16" ht="19.5" hidden="1" x14ac:dyDescent="0.3">
      <c r="A152" s="136"/>
      <c r="B152" s="41"/>
      <c r="C152" s="41"/>
      <c r="D152" s="155"/>
      <c r="E152" s="197" t="s">
        <v>59</v>
      </c>
      <c r="F152" s="41"/>
      <c r="G152" s="43"/>
      <c r="H152" s="147" t="s">
        <v>33</v>
      </c>
      <c r="I152" s="169">
        <f ca="1">IFERROR(__xludf.DUMMYFUNCTION("IMPORTRANGE(""https://docs.google.com/spreadsheets/d/1eHaY18a8A9IcSdp1K8H6x8fbOy06t2VsZHhMHf-1x7Y/edit?usp=sharing"",""แผน!W27"")"),0)</f>
        <v>0</v>
      </c>
      <c r="J152" s="250">
        <v>0</v>
      </c>
      <c r="K152" s="47">
        <f ca="1">IF(I152&gt;0,J152*100/I152,0)</f>
        <v>0</v>
      </c>
      <c r="L152" s="46"/>
      <c r="M152" s="46"/>
      <c r="N152" s="46"/>
      <c r="O152" s="46"/>
      <c r="P152" s="46"/>
    </row>
    <row r="153" spans="1:16" ht="18.75" hidden="1" x14ac:dyDescent="0.25">
      <c r="A153" s="136"/>
      <c r="B153" s="41"/>
      <c r="C153" s="41"/>
      <c r="D153" s="41"/>
      <c r="E153" s="41"/>
      <c r="F153" s="41"/>
      <c r="G153" s="43"/>
      <c r="H153" s="147" t="s">
        <v>56</v>
      </c>
      <c r="I153" s="169">
        <f ca="1">IFERROR(__xludf.DUMMYFUNCTION("IMPORTRANGE(""https://docs.google.com/spreadsheets/d/1eHaY18a8A9IcSdp1K8H6x8fbOy06t2VsZHhMHf-1x7Y/edit?usp=sharing"",""แผน!X27"")"),0)</f>
        <v>0</v>
      </c>
      <c r="J153" s="250">
        <v>0</v>
      </c>
      <c r="K153" s="47">
        <f ca="1">IF(I153&gt;0,J153*100/I153,0)</f>
        <v>0</v>
      </c>
      <c r="L153" s="46"/>
      <c r="M153" s="46"/>
      <c r="N153" s="46"/>
      <c r="O153" s="46"/>
      <c r="P153" s="46"/>
    </row>
    <row r="154" spans="1:16" ht="18.75" hidden="1" x14ac:dyDescent="0.25">
      <c r="A154" s="136"/>
      <c r="B154" s="41"/>
      <c r="C154" s="41"/>
      <c r="D154" s="254" t="s">
        <v>60</v>
      </c>
      <c r="E154" s="41"/>
      <c r="F154" s="41"/>
      <c r="G154" s="43"/>
      <c r="H154" s="147" t="s">
        <v>54</v>
      </c>
      <c r="I154" s="169">
        <f ca="1">IFERROR(__xludf.DUMMYFUNCTION("IMPORTRANGE(""https://docs.google.com/spreadsheets/d/1eHaY18a8A9IcSdp1K8H6x8fbOy06t2VsZHhMHf-1x7Y/edit?usp=sharing"",""แผน!Y27"")"),0)</f>
        <v>0</v>
      </c>
      <c r="J154" s="250">
        <v>0</v>
      </c>
      <c r="K154" s="47">
        <f ca="1">IF(I154&gt;0,J154*100/I154,0)</f>
        <v>0</v>
      </c>
      <c r="L154" s="46"/>
      <c r="M154" s="46"/>
      <c r="N154" s="46"/>
      <c r="O154" s="46"/>
      <c r="P154" s="46"/>
    </row>
    <row r="155" spans="1:16" ht="19.5" x14ac:dyDescent="0.3">
      <c r="A155" s="125" t="s">
        <v>61</v>
      </c>
      <c r="B155" s="126"/>
      <c r="C155" s="190"/>
      <c r="D155" s="126"/>
      <c r="E155" s="126"/>
      <c r="F155" s="126"/>
      <c r="G155" s="126"/>
      <c r="H155" s="126"/>
      <c r="I155" s="191"/>
      <c r="J155" s="191"/>
      <c r="K155" s="192"/>
      <c r="L155" s="130"/>
      <c r="M155" s="130"/>
      <c r="N155" s="130"/>
      <c r="O155" s="130"/>
      <c r="P155" s="130"/>
    </row>
    <row r="156" spans="1:16" ht="19.5" x14ac:dyDescent="0.3">
      <c r="A156" s="131"/>
      <c r="B156" s="132" t="s">
        <v>62</v>
      </c>
      <c r="C156" s="26"/>
      <c r="D156" s="26"/>
      <c r="E156" s="26"/>
      <c r="F156" s="26"/>
      <c r="G156" s="29"/>
      <c r="H156" s="198" t="s">
        <v>33</v>
      </c>
      <c r="I156" s="135">
        <f ca="1">I167</f>
        <v>10</v>
      </c>
      <c r="J156" s="135">
        <f>J167</f>
        <v>0</v>
      </c>
      <c r="K156" s="33">
        <f ca="1">IF(I156&gt;0,J156*100/I156,0)</f>
        <v>0</v>
      </c>
      <c r="L156" s="32"/>
      <c r="M156" s="32"/>
      <c r="N156" s="32"/>
      <c r="O156" s="32"/>
      <c r="P156" s="32"/>
    </row>
    <row r="157" spans="1:16" ht="19.5" x14ac:dyDescent="0.3">
      <c r="A157" s="136"/>
      <c r="B157" s="41"/>
      <c r="C157" s="197" t="s">
        <v>16</v>
      </c>
      <c r="D157" s="397" t="s">
        <v>17</v>
      </c>
      <c r="E157" s="41"/>
      <c r="F157" s="41"/>
      <c r="G157" s="43"/>
      <c r="H157" s="139" t="s">
        <v>12</v>
      </c>
      <c r="I157" s="45"/>
      <c r="J157" s="45"/>
      <c r="K157" s="46"/>
      <c r="L157" s="140">
        <f ca="1">L158+L159</f>
        <v>3000</v>
      </c>
      <c r="M157" s="140">
        <f ca="1">M158+M159</f>
        <v>0</v>
      </c>
      <c r="N157" s="140">
        <f ca="1">N158+N159</f>
        <v>0</v>
      </c>
      <c r="O157" s="140">
        <f ca="1">IF(L157&gt;0,N157*100/L157,0)</f>
        <v>0</v>
      </c>
      <c r="P157" s="140">
        <f ca="1">IF(M157&gt;0,N157*100/M157,0)</f>
        <v>0</v>
      </c>
    </row>
    <row r="158" spans="1:16" ht="18.75" hidden="1" x14ac:dyDescent="0.25">
      <c r="A158" s="136"/>
      <c r="B158" s="41"/>
      <c r="C158" s="41"/>
      <c r="D158" s="41"/>
      <c r="E158" s="279" t="s">
        <v>18</v>
      </c>
      <c r="F158" s="41"/>
      <c r="G158" s="43"/>
      <c r="H158" s="141" t="s">
        <v>12</v>
      </c>
      <c r="I158" s="45"/>
      <c r="J158" s="45"/>
      <c r="K158" s="46"/>
      <c r="L158" s="50">
        <f>L161+L164</f>
        <v>0</v>
      </c>
      <c r="M158" s="50">
        <f>M161+M164</f>
        <v>0</v>
      </c>
      <c r="N158" s="50">
        <f>N161+N164</f>
        <v>0</v>
      </c>
      <c r="O158" s="50">
        <f>IF(L158&gt;0,N158*100/L158,0)</f>
        <v>0</v>
      </c>
      <c r="P158" s="50">
        <f>IF(M158&gt;0,N158*100/M158,0)</f>
        <v>0</v>
      </c>
    </row>
    <row r="159" spans="1:16" ht="18.75" x14ac:dyDescent="0.25">
      <c r="A159" s="136"/>
      <c r="B159" s="41"/>
      <c r="C159" s="41"/>
      <c r="D159" s="41"/>
      <c r="E159" s="254" t="s">
        <v>19</v>
      </c>
      <c r="F159" s="41"/>
      <c r="G159" s="43"/>
      <c r="H159" s="142" t="s">
        <v>12</v>
      </c>
      <c r="I159" s="45"/>
      <c r="J159" s="45"/>
      <c r="K159" s="46"/>
      <c r="L159" s="47">
        <f ca="1">L162+L165</f>
        <v>3000</v>
      </c>
      <c r="M159" s="47">
        <f ca="1">M162+M165</f>
        <v>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</row>
    <row r="160" spans="1:16" ht="18.75" x14ac:dyDescent="0.25">
      <c r="A160" s="136"/>
      <c r="B160" s="41"/>
      <c r="C160" s="41"/>
      <c r="D160" s="42" t="s">
        <v>20</v>
      </c>
      <c r="E160" s="41"/>
      <c r="F160" s="41"/>
      <c r="G160" s="43"/>
      <c r="H160" s="143" t="s">
        <v>12</v>
      </c>
      <c r="I160" s="144"/>
      <c r="J160" s="144"/>
      <c r="K160" s="145"/>
      <c r="L160" s="47">
        <f ca="1">L161+L162</f>
        <v>3000</v>
      </c>
      <c r="M160" s="47">
        <f ca="1">M161+M162</f>
        <v>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</row>
    <row r="161" spans="1:16" ht="18.75" hidden="1" x14ac:dyDescent="0.25">
      <c r="A161" s="136"/>
      <c r="B161" s="41"/>
      <c r="C161" s="41"/>
      <c r="D161" s="41"/>
      <c r="E161" s="279" t="s">
        <v>34</v>
      </c>
      <c r="F161" s="41"/>
      <c r="G161" s="43"/>
      <c r="H161" s="146" t="s">
        <v>12</v>
      </c>
      <c r="I161" s="144"/>
      <c r="J161" s="144"/>
      <c r="K161" s="145"/>
      <c r="L161" s="50">
        <v>0</v>
      </c>
      <c r="M161" s="50">
        <v>0</v>
      </c>
      <c r="N161" s="50">
        <v>0</v>
      </c>
      <c r="O161" s="50">
        <f>IF(L161&gt;0,N161*100/L161,0)</f>
        <v>0</v>
      </c>
      <c r="P161" s="50">
        <f>IF(M161&gt;0,N161*100/M161,0)</f>
        <v>0</v>
      </c>
    </row>
    <row r="162" spans="1:16" ht="18.75" x14ac:dyDescent="0.25">
      <c r="A162" s="136"/>
      <c r="B162" s="41"/>
      <c r="C162" s="41"/>
      <c r="D162" s="41"/>
      <c r="E162" s="254" t="s">
        <v>35</v>
      </c>
      <c r="F162" s="41"/>
      <c r="G162" s="43"/>
      <c r="H162" s="143" t="s">
        <v>12</v>
      </c>
      <c r="I162" s="144"/>
      <c r="J162" s="144"/>
      <c r="K162" s="145"/>
      <c r="L162" s="47">
        <f ca="1">IFERROR(__xludf.DUMMYFUNCTION("IMPORTRANGE(""https://docs.google.com/spreadsheets/d/1-uDff_7J0KD5mKrp0Vvzr7lt3OU09vwQwhkpOPPYv2Y/edit?usp=sharing"",""งบพรบ!CA27"")"),3000)</f>
        <v>3000</v>
      </c>
      <c r="M162" s="47">
        <f ca="1">IFERROR(__xludf.DUMMYFUNCTION("IMPORTRANGE(""https://docs.google.com/spreadsheets/d/1-uDff_7J0KD5mKrp0Vvzr7lt3OU09vwQwhkpOPPYv2Y/edit?usp=sharing"",""งบพรบ!CF27"")"),0)</f>
        <v>0</v>
      </c>
      <c r="N162" s="47">
        <f ca="1">IFERROR(__xludf.DUMMYFUNCTION("IMPORTRANGE(""https://docs.google.com/spreadsheets/d/1-uDff_7J0KD5mKrp0Vvzr7lt3OU09vwQwhkpOPPYv2Y/edit?usp=sharing"",""งบพรบ!CH27"")"),0)</f>
        <v>0</v>
      </c>
      <c r="O162" s="47">
        <f ca="1">IF(L162&gt;0,N162*100/L162,0)</f>
        <v>0</v>
      </c>
      <c r="P162" s="47">
        <f ca="1">IF(M162&gt;0,N162*100/M162,0)</f>
        <v>0</v>
      </c>
    </row>
    <row r="163" spans="1:16" ht="18.75" x14ac:dyDescent="0.25">
      <c r="A163" s="136"/>
      <c r="B163" s="41"/>
      <c r="C163" s="41"/>
      <c r="D163" s="42" t="s">
        <v>21</v>
      </c>
      <c r="E163" s="41"/>
      <c r="F163" s="41"/>
      <c r="G163" s="43"/>
      <c r="H163" s="147" t="s">
        <v>12</v>
      </c>
      <c r="I163" s="144"/>
      <c r="J163" s="144"/>
      <c r="K163" s="145"/>
      <c r="L163" s="47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</row>
    <row r="164" spans="1:16" ht="18.75" hidden="1" x14ac:dyDescent="0.25">
      <c r="A164" s="136"/>
      <c r="B164" s="41"/>
      <c r="C164" s="41"/>
      <c r="D164" s="41"/>
      <c r="E164" s="279" t="s">
        <v>18</v>
      </c>
      <c r="F164" s="41"/>
      <c r="G164" s="43"/>
      <c r="H164" s="146" t="s">
        <v>12</v>
      </c>
      <c r="I164" s="144"/>
      <c r="J164" s="144"/>
      <c r="K164" s="145"/>
      <c r="L164" s="50">
        <v>0</v>
      </c>
      <c r="M164" s="50">
        <v>0</v>
      </c>
      <c r="N164" s="50">
        <v>0</v>
      </c>
      <c r="O164" s="50">
        <f>IF(L164&gt;0,N164*100/L164,0)</f>
        <v>0</v>
      </c>
      <c r="P164" s="50">
        <f>IF(M164&gt;0,N164*100/M164,0)</f>
        <v>0</v>
      </c>
    </row>
    <row r="165" spans="1:16" ht="18.75" x14ac:dyDescent="0.25">
      <c r="A165" s="136"/>
      <c r="B165" s="41"/>
      <c r="C165" s="41"/>
      <c r="D165" s="41"/>
      <c r="E165" s="254" t="s">
        <v>19</v>
      </c>
      <c r="F165" s="41"/>
      <c r="G165" s="43"/>
      <c r="H165" s="147" t="s">
        <v>12</v>
      </c>
      <c r="I165" s="144"/>
      <c r="J165" s="144"/>
      <c r="K165" s="145"/>
      <c r="L165" s="47">
        <f ca="1">IFERROR(__xludf.DUMMYFUNCTION("IMPORTRANGE(""https://docs.google.com/spreadsheets/d/1-uDff_7J0KD5mKrp0Vvzr7lt3OU09vwQwhkpOPPYv2Y/edit?usp=sharing"",""งบพรบ!CD27"")"),0)</f>
        <v>0</v>
      </c>
      <c r="M165" s="47">
        <f ca="1">IFERROR(__xludf.DUMMYFUNCTION("IMPORTRANGE(""https://docs.google.com/spreadsheets/d/1-uDff_7J0KD5mKrp0Vvzr7lt3OU09vwQwhkpOPPYv2Y/edit?usp=sharing"",""งบพรบ!CG27"")"),0)</f>
        <v>0</v>
      </c>
      <c r="N165" s="47">
        <f ca="1">IFERROR(__xludf.DUMMYFUNCTION("IMPORTRANGE(""https://docs.google.com/spreadsheets/d/1-uDff_7J0KD5mKrp0Vvzr7lt3OU09vwQwhkpOPPYv2Y/edit?usp=sharing"",""งบพรบ!CI27"")"),0)</f>
        <v>0</v>
      </c>
      <c r="O165" s="47">
        <f ca="1">IF(L165&gt;0,N165*100/L165,0)</f>
        <v>0</v>
      </c>
      <c r="P165" s="47">
        <f ca="1">IF(M165&gt;0,N165*100/M165,0)</f>
        <v>0</v>
      </c>
    </row>
    <row r="166" spans="1:16" ht="19.5" x14ac:dyDescent="0.3">
      <c r="A166" s="148"/>
      <c r="B166" s="149"/>
      <c r="C166" s="197" t="s">
        <v>16</v>
      </c>
      <c r="D166" s="395" t="s">
        <v>36</v>
      </c>
      <c r="E166" s="151"/>
      <c r="F166" s="151"/>
      <c r="G166" s="152"/>
      <c r="H166" s="196"/>
      <c r="I166" s="45"/>
      <c r="J166" s="45"/>
      <c r="K166" s="46"/>
      <c r="L166" s="46"/>
      <c r="M166" s="46"/>
      <c r="N166" s="46"/>
      <c r="O166" s="46"/>
      <c r="P166" s="46"/>
    </row>
    <row r="167" spans="1:16" ht="18.75" x14ac:dyDescent="0.25">
      <c r="A167" s="136"/>
      <c r="B167" s="41"/>
      <c r="C167" s="41"/>
      <c r="D167" s="254" t="s">
        <v>63</v>
      </c>
      <c r="E167" s="41"/>
      <c r="F167" s="41"/>
      <c r="G167" s="43"/>
      <c r="H167" s="147" t="s">
        <v>33</v>
      </c>
      <c r="I167" s="169">
        <f ca="1">IFERROR(__xludf.DUMMYFUNCTION("IMPORTRANGE(""https://docs.google.com/spreadsheets/d/1eHaY18a8A9IcSdp1K8H6x8fbOy06t2VsZHhMHf-1x7Y/edit?usp=sharing"",""แผน!Z27"")"),10)</f>
        <v>10</v>
      </c>
      <c r="J167" s="250">
        <v>0</v>
      </c>
      <c r="K167" s="47">
        <f ca="1">IF(I167&gt;0,J167*100/I167,0)</f>
        <v>0</v>
      </c>
      <c r="L167" s="46"/>
      <c r="M167" s="46"/>
      <c r="N167" s="46"/>
      <c r="O167" s="46"/>
      <c r="P167" s="46"/>
    </row>
    <row r="168" spans="1:16" ht="18.75" hidden="1" x14ac:dyDescent="0.25">
      <c r="A168" s="136"/>
      <c r="B168" s="41"/>
      <c r="C168" s="41"/>
      <c r="D168" s="279" t="s">
        <v>64</v>
      </c>
      <c r="E168" s="41"/>
      <c r="F168" s="41"/>
      <c r="G168" s="43"/>
      <c r="H168" s="199" t="s">
        <v>33</v>
      </c>
      <c r="I168" s="200">
        <f ca="1">I167</f>
        <v>10</v>
      </c>
      <c r="J168" s="201">
        <v>0</v>
      </c>
      <c r="K168" s="50">
        <f ca="1">IF(I168&gt;0,J168*100/I168,0)</f>
        <v>0</v>
      </c>
      <c r="L168" s="46"/>
      <c r="M168" s="46"/>
      <c r="N168" s="46"/>
      <c r="O168" s="46"/>
      <c r="P168" s="46"/>
    </row>
    <row r="169" spans="1:16" ht="18.75" hidden="1" x14ac:dyDescent="0.25">
      <c r="A169" s="202"/>
      <c r="B169" s="1"/>
      <c r="C169" s="1"/>
      <c r="D169" s="203" t="s">
        <v>65</v>
      </c>
      <c r="E169" s="1"/>
      <c r="F169" s="1"/>
      <c r="G169" s="54"/>
      <c r="H169" s="204" t="s">
        <v>33</v>
      </c>
      <c r="I169" s="205">
        <f ca="1">I167</f>
        <v>10</v>
      </c>
      <c r="J169" s="206">
        <v>0</v>
      </c>
      <c r="K169" s="207">
        <f ca="1">IF(I169&gt;0,J169*100/I169,0)</f>
        <v>0</v>
      </c>
      <c r="L169" s="57"/>
      <c r="M169" s="57"/>
      <c r="N169" s="57"/>
      <c r="O169" s="57"/>
      <c r="P169" s="57"/>
    </row>
    <row r="170" spans="1:16" ht="19.5" x14ac:dyDescent="0.3">
      <c r="A170" s="208" t="s">
        <v>66</v>
      </c>
      <c r="B170" s="209"/>
      <c r="C170" s="209"/>
      <c r="D170" s="209"/>
      <c r="E170" s="210"/>
      <c r="F170" s="210"/>
      <c r="G170" s="210"/>
      <c r="H170" s="210"/>
      <c r="I170" s="211"/>
      <c r="J170" s="211"/>
      <c r="K170" s="212"/>
      <c r="L170" s="212"/>
      <c r="M170" s="212"/>
      <c r="N170" s="212"/>
      <c r="O170" s="212"/>
      <c r="P170" s="213"/>
    </row>
    <row r="171" spans="1:16" ht="19.5" x14ac:dyDescent="0.3">
      <c r="A171" s="214" t="s">
        <v>67</v>
      </c>
      <c r="B171" s="215"/>
      <c r="C171" s="215"/>
      <c r="D171" s="216"/>
      <c r="E171" s="216"/>
      <c r="F171" s="216"/>
      <c r="G171" s="216"/>
      <c r="H171" s="217"/>
      <c r="I171" s="218"/>
      <c r="J171" s="218"/>
      <c r="K171" s="219"/>
      <c r="L171" s="219"/>
      <c r="M171" s="219"/>
      <c r="N171" s="219"/>
      <c r="O171" s="219"/>
      <c r="P171" s="219"/>
    </row>
    <row r="172" spans="1:16" ht="19.5" x14ac:dyDescent="0.3">
      <c r="A172" s="220"/>
      <c r="B172" s="221" t="s">
        <v>68</v>
      </c>
      <c r="C172" s="222"/>
      <c r="D172" s="151"/>
      <c r="E172" s="151"/>
      <c r="F172" s="151"/>
      <c r="G172" s="152"/>
      <c r="H172" s="223" t="s">
        <v>33</v>
      </c>
      <c r="I172" s="224">
        <f ca="1">I183+I184</f>
        <v>7</v>
      </c>
      <c r="J172" s="224">
        <f>J183+J184</f>
        <v>0</v>
      </c>
      <c r="K172" s="225">
        <f ca="1">IF(I172&gt;0,J172*100/I172,0)</f>
        <v>0</v>
      </c>
      <c r="L172" s="226"/>
      <c r="M172" s="226"/>
      <c r="N172" s="226"/>
      <c r="O172" s="226"/>
      <c r="P172" s="226"/>
    </row>
    <row r="173" spans="1:16" ht="19.5" x14ac:dyDescent="0.3">
      <c r="A173" s="136"/>
      <c r="B173" s="41"/>
      <c r="C173" s="197" t="s">
        <v>16</v>
      </c>
      <c r="D173" s="397" t="s">
        <v>17</v>
      </c>
      <c r="E173" s="41"/>
      <c r="F173" s="41"/>
      <c r="G173" s="43"/>
      <c r="H173" s="139" t="s">
        <v>12</v>
      </c>
      <c r="I173" s="45"/>
      <c r="J173" s="45"/>
      <c r="K173" s="46"/>
      <c r="L173" s="140">
        <f ca="1">L174+L175</f>
        <v>19590</v>
      </c>
      <c r="M173" s="140">
        <f ca="1">M174+M175</f>
        <v>19590</v>
      </c>
      <c r="N173" s="140">
        <f ca="1">N174+N175</f>
        <v>0</v>
      </c>
      <c r="O173" s="140">
        <f ca="1">IF(L173&gt;0,N173*100/L173,0)</f>
        <v>0</v>
      </c>
      <c r="P173" s="140">
        <f ca="1">IF(M173&gt;0,N173*100/M173,0)</f>
        <v>0</v>
      </c>
    </row>
    <row r="174" spans="1:16" ht="18.75" hidden="1" x14ac:dyDescent="0.25">
      <c r="A174" s="136"/>
      <c r="B174" s="41"/>
      <c r="C174" s="41"/>
      <c r="D174" s="41"/>
      <c r="E174" s="279" t="s">
        <v>18</v>
      </c>
      <c r="F174" s="41"/>
      <c r="G174" s="43"/>
      <c r="H174" s="141" t="s">
        <v>12</v>
      </c>
      <c r="I174" s="45"/>
      <c r="J174" s="45"/>
      <c r="K174" s="46"/>
      <c r="L174" s="50">
        <f>L177+L180</f>
        <v>0</v>
      </c>
      <c r="M174" s="50">
        <f>M177+M180</f>
        <v>0</v>
      </c>
      <c r="N174" s="50">
        <f>N177+N180</f>
        <v>0</v>
      </c>
      <c r="O174" s="50">
        <f>IF(L174&gt;0,N174*100/L174,0)</f>
        <v>0</v>
      </c>
      <c r="P174" s="50">
        <f>IF(M174&gt;0,N174*100/M174,0)</f>
        <v>0</v>
      </c>
    </row>
    <row r="175" spans="1:16" ht="18.75" x14ac:dyDescent="0.25">
      <c r="A175" s="136"/>
      <c r="B175" s="41"/>
      <c r="C175" s="41"/>
      <c r="D175" s="41"/>
      <c r="E175" s="254" t="s">
        <v>19</v>
      </c>
      <c r="F175" s="41"/>
      <c r="G175" s="43"/>
      <c r="H175" s="142" t="s">
        <v>12</v>
      </c>
      <c r="I175" s="45"/>
      <c r="J175" s="45"/>
      <c r="K175" s="46"/>
      <c r="L175" s="47">
        <f ca="1">L178+L181</f>
        <v>19590</v>
      </c>
      <c r="M175" s="47">
        <f ca="1">M178+M181</f>
        <v>19590</v>
      </c>
      <c r="N175" s="47">
        <f ca="1">N178+N181</f>
        <v>0</v>
      </c>
      <c r="O175" s="47">
        <f ca="1">IF(L175&gt;0,N175*100/L175,0)</f>
        <v>0</v>
      </c>
      <c r="P175" s="47">
        <f ca="1">IF(M175&gt;0,N175*100/M175,0)</f>
        <v>0</v>
      </c>
    </row>
    <row r="176" spans="1:16" ht="18.75" x14ac:dyDescent="0.25">
      <c r="A176" s="136"/>
      <c r="B176" s="41"/>
      <c r="C176" s="41"/>
      <c r="D176" s="42" t="s">
        <v>20</v>
      </c>
      <c r="E176" s="41"/>
      <c r="F176" s="41"/>
      <c r="G176" s="43"/>
      <c r="H176" s="143" t="s">
        <v>12</v>
      </c>
      <c r="I176" s="144"/>
      <c r="J176" s="144"/>
      <c r="K176" s="145"/>
      <c r="L176" s="47">
        <f ca="1">L177+L178</f>
        <v>19590</v>
      </c>
      <c r="M176" s="47">
        <f ca="1">M177+M178</f>
        <v>19590</v>
      </c>
      <c r="N176" s="47">
        <f ca="1">N177+N178</f>
        <v>0</v>
      </c>
      <c r="O176" s="47">
        <f ca="1">IF(L176&gt;0,N176*100/L176,0)</f>
        <v>0</v>
      </c>
      <c r="P176" s="47">
        <f ca="1">IF(M176&gt;0,N176*100/M176,0)</f>
        <v>0</v>
      </c>
    </row>
    <row r="177" spans="1:16" ht="18.75" hidden="1" x14ac:dyDescent="0.25">
      <c r="A177" s="136"/>
      <c r="B177" s="41"/>
      <c r="C177" s="41"/>
      <c r="D177" s="41"/>
      <c r="E177" s="279" t="s">
        <v>34</v>
      </c>
      <c r="F177" s="41"/>
      <c r="G177" s="43"/>
      <c r="H177" s="146" t="s">
        <v>12</v>
      </c>
      <c r="I177" s="144"/>
      <c r="J177" s="144"/>
      <c r="K177" s="145"/>
      <c r="L177" s="50">
        <v>0</v>
      </c>
      <c r="M177" s="50">
        <v>0</v>
      </c>
      <c r="N177" s="50">
        <v>0</v>
      </c>
      <c r="O177" s="50">
        <f>IF(L177&gt;0,N177*100/L177,0)</f>
        <v>0</v>
      </c>
      <c r="P177" s="50">
        <f>IF(M177&gt;0,N177*100/M177,0)</f>
        <v>0</v>
      </c>
    </row>
    <row r="178" spans="1:16" ht="18.75" x14ac:dyDescent="0.25">
      <c r="A178" s="136"/>
      <c r="B178" s="41"/>
      <c r="C178" s="41"/>
      <c r="D178" s="41"/>
      <c r="E178" s="254" t="s">
        <v>35</v>
      </c>
      <c r="F178" s="41"/>
      <c r="G178" s="43"/>
      <c r="H178" s="143" t="s">
        <v>12</v>
      </c>
      <c r="I178" s="144"/>
      <c r="J178" s="144"/>
      <c r="K178" s="145"/>
      <c r="L178" s="47">
        <f ca="1">IFERROR(__xludf.DUMMYFUNCTION("IMPORTRANGE(""https://docs.google.com/spreadsheets/d/1-uDff_7J0KD5mKrp0Vvzr7lt3OU09vwQwhkpOPPYv2Y/edit?usp=sharing"",""งบพรบ!CK27"")"),19590)</f>
        <v>19590</v>
      </c>
      <c r="M178" s="47">
        <f ca="1">IFERROR(__xludf.DUMMYFUNCTION("IMPORTRANGE(""https://docs.google.com/spreadsheets/d/1-uDff_7J0KD5mKrp0Vvzr7lt3OU09vwQwhkpOPPYv2Y/edit?usp=sharing"",""งบพรบ!CP27"")"),19590)</f>
        <v>19590</v>
      </c>
      <c r="N178" s="47">
        <f ca="1">IFERROR(__xludf.DUMMYFUNCTION("IMPORTRANGE(""https://docs.google.com/spreadsheets/d/1-uDff_7J0KD5mKrp0Vvzr7lt3OU09vwQwhkpOPPYv2Y/edit?usp=sharing"",""งบพรบ!CR27"")"),0)</f>
        <v>0</v>
      </c>
      <c r="O178" s="47">
        <f ca="1">IF(L178&gt;0,N178*100/L178,0)</f>
        <v>0</v>
      </c>
      <c r="P178" s="47">
        <f ca="1">IF(M178&gt;0,N178*100/M178,0)</f>
        <v>0</v>
      </c>
    </row>
    <row r="179" spans="1:16" ht="18.75" x14ac:dyDescent="0.25">
      <c r="A179" s="136"/>
      <c r="B179" s="41"/>
      <c r="C179" s="41"/>
      <c r="D179" s="42" t="s">
        <v>21</v>
      </c>
      <c r="E179" s="41"/>
      <c r="F179" s="41"/>
      <c r="G179" s="43"/>
      <c r="H179" s="147" t="s">
        <v>12</v>
      </c>
      <c r="I179" s="144"/>
      <c r="J179" s="144"/>
      <c r="K179" s="145"/>
      <c r="L179" s="47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</row>
    <row r="180" spans="1:16" ht="18.75" hidden="1" x14ac:dyDescent="0.25">
      <c r="A180" s="136"/>
      <c r="B180" s="41"/>
      <c r="C180" s="41"/>
      <c r="D180" s="41"/>
      <c r="E180" s="279" t="s">
        <v>18</v>
      </c>
      <c r="F180" s="41"/>
      <c r="G180" s="43"/>
      <c r="H180" s="146" t="s">
        <v>12</v>
      </c>
      <c r="I180" s="144"/>
      <c r="J180" s="144"/>
      <c r="K180" s="145"/>
      <c r="L180" s="50">
        <v>0</v>
      </c>
      <c r="M180" s="50">
        <v>0</v>
      </c>
      <c r="N180" s="50">
        <v>0</v>
      </c>
      <c r="O180" s="50">
        <f>IF(L180&gt;0,N180*100/L180,0)</f>
        <v>0</v>
      </c>
      <c r="P180" s="50">
        <f>IF(M180&gt;0,N180*100/M180,0)</f>
        <v>0</v>
      </c>
    </row>
    <row r="181" spans="1:16" ht="18.75" x14ac:dyDescent="0.25">
      <c r="A181" s="136"/>
      <c r="B181" s="41"/>
      <c r="C181" s="41"/>
      <c r="D181" s="41"/>
      <c r="E181" s="254" t="s">
        <v>19</v>
      </c>
      <c r="F181" s="41"/>
      <c r="G181" s="43"/>
      <c r="H181" s="147" t="s">
        <v>12</v>
      </c>
      <c r="I181" s="144"/>
      <c r="J181" s="144"/>
      <c r="K181" s="145"/>
      <c r="L181" s="47">
        <f ca="1">IFERROR(__xludf.DUMMYFUNCTION("IMPORTRANGE(""https://docs.google.com/spreadsheets/d/1-uDff_7J0KD5mKrp0Vvzr7lt3OU09vwQwhkpOPPYv2Y/edit?usp=sharing"",""งบพรบ!CN27"")"),0)</f>
        <v>0</v>
      </c>
      <c r="M181" s="47">
        <f ca="1">IFERROR(__xludf.DUMMYFUNCTION("IMPORTRANGE(""https://docs.google.com/spreadsheets/d/1-uDff_7J0KD5mKrp0Vvzr7lt3OU09vwQwhkpOPPYv2Y/edit?usp=sharing"",""งบพรบ!CQ27"")"),0)</f>
        <v>0</v>
      </c>
      <c r="N181" s="47">
        <f ca="1">IFERROR(__xludf.DUMMYFUNCTION("IMPORTRANGE(""https://docs.google.com/spreadsheets/d/1-uDff_7J0KD5mKrp0Vvzr7lt3OU09vwQwhkpOPPYv2Y/edit?usp=sharing"",""งบพรบ!CS27"")"),0)</f>
        <v>0</v>
      </c>
      <c r="O181" s="47">
        <f ca="1">IF(L181&gt;0,N181*100/L181,0)</f>
        <v>0</v>
      </c>
      <c r="P181" s="47">
        <f ca="1">IF(M181&gt;0,N181*100/M181,0)</f>
        <v>0</v>
      </c>
    </row>
    <row r="182" spans="1:16" ht="19.5" x14ac:dyDescent="0.3">
      <c r="A182" s="148"/>
      <c r="B182" s="149"/>
      <c r="C182" s="197" t="s">
        <v>16</v>
      </c>
      <c r="D182" s="395" t="s">
        <v>36</v>
      </c>
      <c r="E182" s="151"/>
      <c r="F182" s="151"/>
      <c r="G182" s="152"/>
      <c r="H182" s="196"/>
      <c r="I182" s="45"/>
      <c r="J182" s="45"/>
      <c r="K182" s="46"/>
      <c r="L182" s="46"/>
      <c r="M182" s="46"/>
      <c r="N182" s="46"/>
      <c r="O182" s="46"/>
      <c r="P182" s="46"/>
    </row>
    <row r="183" spans="1:16" ht="18.75" x14ac:dyDescent="0.25">
      <c r="A183" s="227"/>
      <c r="B183" s="41"/>
      <c r="C183" s="228"/>
      <c r="D183" s="229" t="s">
        <v>69</v>
      </c>
      <c r="E183" s="41"/>
      <c r="F183" s="41"/>
      <c r="G183" s="43"/>
      <c r="H183" s="230" t="s">
        <v>33</v>
      </c>
      <c r="I183" s="169">
        <f ca="1">IFERROR(__xludf.DUMMYFUNCTION("IMPORTRANGE(""https://docs.google.com/spreadsheets/d/1eHaY18a8A9IcSdp1K8H6x8fbOy06t2VsZHhMHf-1x7Y/edit?usp=sharing"",""แผน!AA27"")"),7)</f>
        <v>7</v>
      </c>
      <c r="J183" s="250">
        <v>0</v>
      </c>
      <c r="K183" s="47">
        <f ca="1">IF(I183&gt;0,J183*100/I183,0)</f>
        <v>0</v>
      </c>
      <c r="L183" s="46"/>
      <c r="M183" s="46"/>
      <c r="N183" s="46"/>
      <c r="O183" s="46"/>
      <c r="P183" s="46"/>
    </row>
    <row r="184" spans="1:16" ht="18.75" hidden="1" x14ac:dyDescent="0.25">
      <c r="A184" s="227"/>
      <c r="B184" s="228"/>
      <c r="C184" s="228"/>
      <c r="D184" s="231" t="s">
        <v>70</v>
      </c>
      <c r="E184" s="41"/>
      <c r="F184" s="41"/>
      <c r="G184" s="43"/>
      <c r="H184" s="232" t="s">
        <v>33</v>
      </c>
      <c r="I184" s="200">
        <v>0</v>
      </c>
      <c r="J184" s="200">
        <v>0</v>
      </c>
      <c r="K184" s="50">
        <f>IF(I184&gt;0,J184*100/I184,0)</f>
        <v>0</v>
      </c>
      <c r="L184" s="46"/>
      <c r="M184" s="46"/>
      <c r="N184" s="46"/>
      <c r="O184" s="46"/>
      <c r="P184" s="46"/>
    </row>
    <row r="185" spans="1:16" ht="19.5" x14ac:dyDescent="0.3">
      <c r="A185" s="220"/>
      <c r="B185" s="221" t="s">
        <v>71</v>
      </c>
      <c r="C185" s="222"/>
      <c r="D185" s="151"/>
      <c r="E185" s="151"/>
      <c r="F185" s="151"/>
      <c r="G185" s="152"/>
      <c r="H185" s="223" t="s">
        <v>33</v>
      </c>
      <c r="I185" s="224">
        <f ca="1">I230+I231</f>
        <v>40</v>
      </c>
      <c r="J185" s="224">
        <f>J230+J231</f>
        <v>10</v>
      </c>
      <c r="K185" s="225">
        <f ca="1">IF(I185&gt;0,J185*100/I185,0)</f>
        <v>25</v>
      </c>
      <c r="L185" s="226"/>
      <c r="M185" s="226"/>
      <c r="N185" s="226"/>
      <c r="O185" s="226"/>
      <c r="P185" s="226"/>
    </row>
    <row r="186" spans="1:16" ht="19.5" x14ac:dyDescent="0.3">
      <c r="A186" s="136"/>
      <c r="B186" s="41"/>
      <c r="C186" s="197" t="s">
        <v>16</v>
      </c>
      <c r="D186" s="397" t="s">
        <v>17</v>
      </c>
      <c r="E186" s="41"/>
      <c r="F186" s="41"/>
      <c r="G186" s="43"/>
      <c r="H186" s="139" t="s">
        <v>12</v>
      </c>
      <c r="I186" s="45"/>
      <c r="J186" s="45"/>
      <c r="K186" s="46"/>
      <c r="L186" s="140">
        <f ca="1">L187+L188</f>
        <v>452600</v>
      </c>
      <c r="M186" s="140">
        <f ca="1">M187+M188</f>
        <v>356200</v>
      </c>
      <c r="N186" s="140">
        <f ca="1">N187+N188</f>
        <v>62040</v>
      </c>
      <c r="O186" s="140">
        <f ca="1">IF(L186&gt;0,N186*100/L186,0)</f>
        <v>13.707467962881131</v>
      </c>
      <c r="P186" s="140">
        <f ca="1">IF(M186&gt;0,N186*100/M186,0)</f>
        <v>17.417181358787197</v>
      </c>
    </row>
    <row r="187" spans="1:16" ht="18.75" hidden="1" x14ac:dyDescent="0.25">
      <c r="A187" s="136"/>
      <c r="B187" s="41"/>
      <c r="C187" s="41"/>
      <c r="D187" s="41"/>
      <c r="E187" s="279" t="s">
        <v>18</v>
      </c>
      <c r="F187" s="41"/>
      <c r="G187" s="43"/>
      <c r="H187" s="141" t="s">
        <v>12</v>
      </c>
      <c r="I187" s="45"/>
      <c r="J187" s="45"/>
      <c r="K187" s="46"/>
      <c r="L187" s="50">
        <f>L190+L193</f>
        <v>0</v>
      </c>
      <c r="M187" s="50">
        <f>M190+M193</f>
        <v>0</v>
      </c>
      <c r="N187" s="50">
        <f>N190+N193</f>
        <v>0</v>
      </c>
      <c r="O187" s="50">
        <f>IF(L187&gt;0,N187*100/L187,0)</f>
        <v>0</v>
      </c>
      <c r="P187" s="50">
        <f>IF(M187&gt;0,N187*100/M187,0)</f>
        <v>0</v>
      </c>
    </row>
    <row r="188" spans="1:16" ht="18.75" x14ac:dyDescent="0.25">
      <c r="A188" s="136"/>
      <c r="B188" s="41"/>
      <c r="C188" s="41"/>
      <c r="D188" s="41"/>
      <c r="E188" s="254" t="s">
        <v>19</v>
      </c>
      <c r="F188" s="41"/>
      <c r="G188" s="43"/>
      <c r="H188" s="142" t="s">
        <v>12</v>
      </c>
      <c r="I188" s="45"/>
      <c r="J188" s="45"/>
      <c r="K188" s="46"/>
      <c r="L188" s="47">
        <f ca="1">L191+L194</f>
        <v>452600</v>
      </c>
      <c r="M188" s="47">
        <f ca="1">M191+M194</f>
        <v>356200</v>
      </c>
      <c r="N188" s="47">
        <f ca="1">N191+N194</f>
        <v>62040</v>
      </c>
      <c r="O188" s="47">
        <f ca="1">IF(L188&gt;0,N188*100/L188,0)</f>
        <v>13.707467962881131</v>
      </c>
      <c r="P188" s="47">
        <f ca="1">IF(M188&gt;0,N188*100/M188,0)</f>
        <v>17.417181358787197</v>
      </c>
    </row>
    <row r="189" spans="1:16" ht="18.75" x14ac:dyDescent="0.25">
      <c r="A189" s="136"/>
      <c r="B189" s="41"/>
      <c r="C189" s="41"/>
      <c r="D189" s="42" t="s">
        <v>20</v>
      </c>
      <c r="E189" s="41"/>
      <c r="F189" s="41"/>
      <c r="G189" s="43"/>
      <c r="H189" s="143" t="s">
        <v>12</v>
      </c>
      <c r="I189" s="144"/>
      <c r="J189" s="144"/>
      <c r="K189" s="145"/>
      <c r="L189" s="47">
        <f ca="1">L190+L191</f>
        <v>452600</v>
      </c>
      <c r="M189" s="47">
        <f ca="1">M190+M191</f>
        <v>356200</v>
      </c>
      <c r="N189" s="47">
        <f ca="1">N190+N191</f>
        <v>62040</v>
      </c>
      <c r="O189" s="47">
        <f ca="1">IF(L189&gt;0,N189*100/L189,0)</f>
        <v>13.707467962881131</v>
      </c>
      <c r="P189" s="47">
        <f ca="1">IF(M189&gt;0,N189*100/M189,0)</f>
        <v>17.417181358787197</v>
      </c>
    </row>
    <row r="190" spans="1:16" ht="18.75" hidden="1" x14ac:dyDescent="0.25">
      <c r="A190" s="136"/>
      <c r="B190" s="41"/>
      <c r="C190" s="41"/>
      <c r="D190" s="41"/>
      <c r="E190" s="279" t="s">
        <v>34</v>
      </c>
      <c r="F190" s="41"/>
      <c r="G190" s="43"/>
      <c r="H190" s="146" t="s">
        <v>12</v>
      </c>
      <c r="I190" s="144"/>
      <c r="J190" s="144"/>
      <c r="K190" s="145"/>
      <c r="L190" s="50">
        <v>0</v>
      </c>
      <c r="M190" s="50">
        <v>0</v>
      </c>
      <c r="N190" s="50">
        <v>0</v>
      </c>
      <c r="O190" s="50">
        <f>IF(L190&gt;0,N190*100/L190,0)</f>
        <v>0</v>
      </c>
      <c r="P190" s="50">
        <f>IF(M190&gt;0,N190*100/M190,0)</f>
        <v>0</v>
      </c>
    </row>
    <row r="191" spans="1:16" ht="18.75" x14ac:dyDescent="0.25">
      <c r="A191" s="136"/>
      <c r="B191" s="41"/>
      <c r="C191" s="41"/>
      <c r="D191" s="41"/>
      <c r="E191" s="254" t="s">
        <v>35</v>
      </c>
      <c r="F191" s="41"/>
      <c r="G191" s="43"/>
      <c r="H191" s="143" t="s">
        <v>12</v>
      </c>
      <c r="I191" s="144"/>
      <c r="J191" s="144"/>
      <c r="K191" s="145"/>
      <c r="L191" s="47">
        <f ca="1">IFERROR(__xludf.DUMMYFUNCTION("IMPORTRANGE(""https://docs.google.com/spreadsheets/d/1-uDff_7J0KD5mKrp0Vvzr7lt3OU09vwQwhkpOPPYv2Y/edit?usp=sharing"",""งบพรบ!CU27"")"),452600)</f>
        <v>452600</v>
      </c>
      <c r="M191" s="47">
        <f ca="1">IFERROR(__xludf.DUMMYFUNCTION("IMPORTRANGE(""https://docs.google.com/spreadsheets/d/1-uDff_7J0KD5mKrp0Vvzr7lt3OU09vwQwhkpOPPYv2Y/edit?usp=sharing"",""งบพรบ!CZ27"")"),356200)</f>
        <v>356200</v>
      </c>
      <c r="N191" s="47">
        <f ca="1">IFERROR(__xludf.DUMMYFUNCTION("IMPORTRANGE(""https://docs.google.com/spreadsheets/d/1-uDff_7J0KD5mKrp0Vvzr7lt3OU09vwQwhkpOPPYv2Y/edit?usp=sharing"",""งบพรบ!DB27"")"),62040)</f>
        <v>62040</v>
      </c>
      <c r="O191" s="47">
        <f ca="1">IF(L191&gt;0,N191*100/L191,0)</f>
        <v>13.707467962881131</v>
      </c>
      <c r="P191" s="47">
        <f ca="1">IF(M191&gt;0,N191*100/M191,0)</f>
        <v>17.417181358787197</v>
      </c>
    </row>
    <row r="192" spans="1:16" ht="18.75" x14ac:dyDescent="0.25">
      <c r="A192" s="136"/>
      <c r="B192" s="41"/>
      <c r="C192" s="41"/>
      <c r="D192" s="42" t="s">
        <v>21</v>
      </c>
      <c r="E192" s="41"/>
      <c r="F192" s="41"/>
      <c r="G192" s="43"/>
      <c r="H192" s="147" t="s">
        <v>12</v>
      </c>
      <c r="I192" s="144"/>
      <c r="J192" s="144"/>
      <c r="K192" s="145"/>
      <c r="L192" s="47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</row>
    <row r="193" spans="1:16" ht="18.75" hidden="1" x14ac:dyDescent="0.25">
      <c r="A193" s="136"/>
      <c r="B193" s="41"/>
      <c r="C193" s="41"/>
      <c r="D193" s="41"/>
      <c r="E193" s="279" t="s">
        <v>18</v>
      </c>
      <c r="F193" s="41"/>
      <c r="G193" s="43"/>
      <c r="H193" s="146" t="s">
        <v>12</v>
      </c>
      <c r="I193" s="144"/>
      <c r="J193" s="144"/>
      <c r="K193" s="145"/>
      <c r="L193" s="50">
        <v>0</v>
      </c>
      <c r="M193" s="50">
        <v>0</v>
      </c>
      <c r="N193" s="50">
        <v>0</v>
      </c>
      <c r="O193" s="50">
        <f>IF(L193&gt;0,N193*100/L193,0)</f>
        <v>0</v>
      </c>
      <c r="P193" s="50">
        <f>IF(M193&gt;0,N193*100/M193,0)</f>
        <v>0</v>
      </c>
    </row>
    <row r="194" spans="1:16" ht="18.75" x14ac:dyDescent="0.25">
      <c r="A194" s="136"/>
      <c r="B194" s="41"/>
      <c r="C194" s="41"/>
      <c r="D194" s="41"/>
      <c r="E194" s="254" t="s">
        <v>19</v>
      </c>
      <c r="F194" s="41"/>
      <c r="G194" s="43"/>
      <c r="H194" s="147" t="s">
        <v>12</v>
      </c>
      <c r="I194" s="144"/>
      <c r="J194" s="144"/>
      <c r="K194" s="145"/>
      <c r="L194" s="47">
        <f ca="1">IFERROR(__xludf.DUMMYFUNCTION("IMPORTRANGE(""https://docs.google.com/spreadsheets/d/1-uDff_7J0KD5mKrp0Vvzr7lt3OU09vwQwhkpOPPYv2Y/edit?usp=sharing"",""งบพรบ!CX27"")"),0)</f>
        <v>0</v>
      </c>
      <c r="M194" s="47">
        <f ca="1">IFERROR(__xludf.DUMMYFUNCTION("IMPORTRANGE(""https://docs.google.com/spreadsheets/d/1-uDff_7J0KD5mKrp0Vvzr7lt3OU09vwQwhkpOPPYv2Y/edit?usp=sharing"",""งบพรบ!DA27"")"),0)</f>
        <v>0</v>
      </c>
      <c r="N194" s="47">
        <f ca="1">IFERROR(__xludf.DUMMYFUNCTION("IMPORTRANGE(""https://docs.google.com/spreadsheets/d/1-uDff_7J0KD5mKrp0Vvzr7lt3OU09vwQwhkpOPPYv2Y/edit?usp=sharing"",""งบพรบ!DC27"")"),0)</f>
        <v>0</v>
      </c>
      <c r="O194" s="47">
        <f ca="1">IF(L194&gt;0,N194*100/L194,0)</f>
        <v>0</v>
      </c>
      <c r="P194" s="47">
        <f ca="1">IF(M194&gt;0,N194*100/M194,0)</f>
        <v>0</v>
      </c>
    </row>
    <row r="195" spans="1:16" ht="19.5" x14ac:dyDescent="0.3">
      <c r="A195" s="233"/>
      <c r="B195" s="234"/>
      <c r="C195" s="235" t="s">
        <v>72</v>
      </c>
      <c r="D195" s="236"/>
      <c r="E195" s="236"/>
      <c r="F195" s="236"/>
      <c r="G195" s="237"/>
      <c r="H195" s="238" t="s">
        <v>73</v>
      </c>
      <c r="I195" s="239">
        <f ca="1">I198</f>
        <v>4</v>
      </c>
      <c r="J195" s="239">
        <f>J198</f>
        <v>0</v>
      </c>
      <c r="K195" s="240">
        <f ca="1">IF(I195&gt;0,J195*100/I195,0)</f>
        <v>0</v>
      </c>
      <c r="L195" s="241"/>
      <c r="M195" s="241"/>
      <c r="N195" s="241"/>
      <c r="O195" s="241"/>
      <c r="P195" s="241"/>
    </row>
    <row r="196" spans="1:16" ht="19.5" x14ac:dyDescent="0.3">
      <c r="A196" s="136"/>
      <c r="B196" s="41"/>
      <c r="C196" s="197" t="s">
        <v>16</v>
      </c>
      <c r="D196" s="400" t="s">
        <v>17</v>
      </c>
      <c r="E196" s="41"/>
      <c r="F196" s="41"/>
      <c r="G196" s="43"/>
      <c r="H196" s="243" t="s">
        <v>12</v>
      </c>
      <c r="I196" s="45"/>
      <c r="J196" s="45"/>
      <c r="K196" s="46"/>
      <c r="L196" s="140">
        <f ca="1">IFERROR(__xludf.DUMMYFUNCTION("IMPORTRANGE(""https://docs.google.com/spreadsheets/d/1eHaY18a8A9IcSdp1K8H6x8fbOy06t2VsZHhMHf-1x7Y/edit?usp=sharing"",""แผน!AB27"")"),6000)</f>
        <v>6000</v>
      </c>
      <c r="M196" s="46"/>
      <c r="N196" s="244">
        <v>0</v>
      </c>
      <c r="O196" s="140">
        <f ca="1">IF(L196&gt;0,N196*100/L196,0)</f>
        <v>0</v>
      </c>
      <c r="P196" s="140">
        <f>IF(M196&gt;0,N196*100/M196,0)</f>
        <v>0</v>
      </c>
    </row>
    <row r="197" spans="1:16" ht="19.5" x14ac:dyDescent="0.3">
      <c r="A197" s="148"/>
      <c r="B197" s="149"/>
      <c r="C197" s="197" t="s">
        <v>16</v>
      </c>
      <c r="D197" s="395" t="s">
        <v>36</v>
      </c>
      <c r="E197" s="151"/>
      <c r="F197" s="151"/>
      <c r="G197" s="152"/>
      <c r="H197" s="153"/>
      <c r="I197" s="45"/>
      <c r="J197" s="45"/>
      <c r="K197" s="46"/>
      <c r="L197" s="46"/>
      <c r="M197" s="46"/>
      <c r="N197" s="46"/>
      <c r="O197" s="46"/>
      <c r="P197" s="46"/>
    </row>
    <row r="198" spans="1:16" ht="18.75" x14ac:dyDescent="0.25">
      <c r="A198" s="148"/>
      <c r="B198" s="149"/>
      <c r="C198" s="149"/>
      <c r="D198" s="159" t="s">
        <v>74</v>
      </c>
      <c r="E198" s="155"/>
      <c r="F198" s="155"/>
      <c r="G198" s="153"/>
      <c r="H198" s="251" t="s">
        <v>73</v>
      </c>
      <c r="I198" s="169">
        <f ca="1">IFERROR(__xludf.DUMMYFUNCTION("IMPORTRANGE(""https://docs.google.com/spreadsheets/d/1eHaY18a8A9IcSdp1K8H6x8fbOy06t2VsZHhMHf-1x7Y/edit?usp=sharing"",""แผน!AE27"")"),4)</f>
        <v>4</v>
      </c>
      <c r="J198" s="250">
        <v>0</v>
      </c>
      <c r="K198" s="47">
        <f ca="1">IF(I198&gt;0,J198*100/I198,0)</f>
        <v>0</v>
      </c>
      <c r="L198" s="46"/>
      <c r="M198" s="46"/>
      <c r="N198" s="46"/>
      <c r="O198" s="46"/>
      <c r="P198" s="46"/>
    </row>
    <row r="199" spans="1:16" ht="18.75" x14ac:dyDescent="0.25">
      <c r="A199" s="148"/>
      <c r="B199" s="149"/>
      <c r="C199" s="149"/>
      <c r="D199" s="159" t="s">
        <v>75</v>
      </c>
      <c r="E199" s="155"/>
      <c r="F199" s="155"/>
      <c r="G199" s="153"/>
      <c r="H199" s="230" t="s">
        <v>33</v>
      </c>
      <c r="I199" s="45"/>
      <c r="J199" s="169">
        <f>J200+J201</f>
        <v>0</v>
      </c>
      <c r="K199" s="46"/>
      <c r="L199" s="46"/>
      <c r="M199" s="46"/>
      <c r="N199" s="46"/>
      <c r="O199" s="46"/>
      <c r="P199" s="46"/>
    </row>
    <row r="200" spans="1:16" ht="18.75" x14ac:dyDescent="0.25">
      <c r="A200" s="148"/>
      <c r="B200" s="149"/>
      <c r="C200" s="149"/>
      <c r="D200" s="149"/>
      <c r="E200" s="159" t="s">
        <v>76</v>
      </c>
      <c r="F200" s="155"/>
      <c r="G200" s="153"/>
      <c r="H200" s="230" t="s">
        <v>33</v>
      </c>
      <c r="I200" s="45"/>
      <c r="J200" s="250">
        <v>0</v>
      </c>
      <c r="K200" s="46"/>
      <c r="L200" s="46"/>
      <c r="M200" s="46"/>
      <c r="N200" s="46"/>
      <c r="O200" s="46"/>
      <c r="P200" s="46"/>
    </row>
    <row r="201" spans="1:16" ht="18.75" x14ac:dyDescent="0.25">
      <c r="A201" s="148"/>
      <c r="B201" s="149"/>
      <c r="C201" s="149"/>
      <c r="D201" s="149"/>
      <c r="E201" s="159" t="s">
        <v>77</v>
      </c>
      <c r="F201" s="155"/>
      <c r="G201" s="153"/>
      <c r="H201" s="230" t="s">
        <v>33</v>
      </c>
      <c r="I201" s="45"/>
      <c r="J201" s="250">
        <v>0</v>
      </c>
      <c r="K201" s="46"/>
      <c r="L201" s="46"/>
      <c r="M201" s="46"/>
      <c r="N201" s="46"/>
      <c r="O201" s="46"/>
      <c r="P201" s="46"/>
    </row>
    <row r="202" spans="1:16" ht="19.5" x14ac:dyDescent="0.3">
      <c r="A202" s="233"/>
      <c r="B202" s="234"/>
      <c r="C202" s="235" t="s">
        <v>78</v>
      </c>
      <c r="D202" s="236"/>
      <c r="E202" s="236"/>
      <c r="F202" s="236"/>
      <c r="G202" s="237"/>
      <c r="H202" s="245" t="s">
        <v>79</v>
      </c>
      <c r="I202" s="239">
        <f ca="1">I209</f>
        <v>2</v>
      </c>
      <c r="J202" s="239">
        <f>J209</f>
        <v>0</v>
      </c>
      <c r="K202" s="240">
        <f ca="1">IF(I202&gt;0,J202*100/I202,0)</f>
        <v>0</v>
      </c>
      <c r="L202" s="241"/>
      <c r="M202" s="241"/>
      <c r="N202" s="241"/>
      <c r="O202" s="241"/>
      <c r="P202" s="241"/>
    </row>
    <row r="203" spans="1:16" ht="19.5" x14ac:dyDescent="0.3">
      <c r="A203" s="136"/>
      <c r="B203" s="41"/>
      <c r="C203" s="197" t="s">
        <v>16</v>
      </c>
      <c r="D203" s="400" t="s">
        <v>17</v>
      </c>
      <c r="E203" s="41"/>
      <c r="F203" s="41"/>
      <c r="G203" s="43"/>
      <c r="H203" s="243" t="s">
        <v>12</v>
      </c>
      <c r="I203" s="144"/>
      <c r="J203" s="144"/>
      <c r="K203" s="145"/>
      <c r="L203" s="140">
        <f ca="1">L204+L205+L206+L207</f>
        <v>31000</v>
      </c>
      <c r="M203" s="46"/>
      <c r="N203" s="140">
        <f>N204+N205+N206+N207</f>
        <v>0</v>
      </c>
      <c r="O203" s="140">
        <f ca="1">IF(L203&gt;0,N203*100/L203,0)</f>
        <v>0</v>
      </c>
      <c r="P203" s="140">
        <f>IF(M203&gt;0,N203*100/M203,0)</f>
        <v>0</v>
      </c>
    </row>
    <row r="204" spans="1:16" ht="18.75" x14ac:dyDescent="0.25">
      <c r="A204" s="136"/>
      <c r="B204" s="228"/>
      <c r="C204" s="41"/>
      <c r="D204" s="253" t="s">
        <v>153</v>
      </c>
      <c r="E204" s="41"/>
      <c r="F204" s="41"/>
      <c r="G204" s="43"/>
      <c r="H204" s="143" t="s">
        <v>12</v>
      </c>
      <c r="I204" s="144"/>
      <c r="J204" s="144"/>
      <c r="K204" s="145"/>
      <c r="L204" s="47">
        <f ca="1">IFERROR(__xludf.DUMMYFUNCTION("IMPORTRANGE(""https://docs.google.com/spreadsheets/d/1eHaY18a8A9IcSdp1K8H6x8fbOy06t2VsZHhMHf-1x7Y/edit?usp=sharing"",""แผน!AG27"")"),2000)</f>
        <v>2000</v>
      </c>
      <c r="M204" s="46"/>
      <c r="N204" s="248">
        <v>0</v>
      </c>
      <c r="O204" s="145"/>
      <c r="P204" s="46"/>
    </row>
    <row r="205" spans="1:16" ht="18.75" x14ac:dyDescent="0.25">
      <c r="A205" s="227"/>
      <c r="B205" s="228"/>
      <c r="C205" s="41"/>
      <c r="D205" s="254" t="s">
        <v>81</v>
      </c>
      <c r="E205" s="41"/>
      <c r="F205" s="41"/>
      <c r="G205" s="43"/>
      <c r="H205" s="44" t="s">
        <v>12</v>
      </c>
      <c r="I205" s="45"/>
      <c r="J205" s="45"/>
      <c r="K205" s="46"/>
      <c r="L205" s="47">
        <f ca="1">IFERROR(__xludf.DUMMYFUNCTION("IMPORTRANGE(""https://docs.google.com/spreadsheets/d/1eHaY18a8A9IcSdp1K8H6x8fbOy06t2VsZHhMHf-1x7Y/edit?usp=sharing"",""แผน!AH27"")"),0)</f>
        <v>0</v>
      </c>
      <c r="M205" s="46"/>
      <c r="N205" s="248">
        <v>0</v>
      </c>
      <c r="O205" s="145"/>
      <c r="P205" s="46"/>
    </row>
    <row r="206" spans="1:16" ht="18.75" x14ac:dyDescent="0.25">
      <c r="A206" s="227"/>
      <c r="B206" s="228"/>
      <c r="C206" s="41"/>
      <c r="D206" s="254" t="s">
        <v>82</v>
      </c>
      <c r="E206" s="41"/>
      <c r="F206" s="41"/>
      <c r="G206" s="43"/>
      <c r="H206" s="44" t="s">
        <v>12</v>
      </c>
      <c r="I206" s="45"/>
      <c r="J206" s="45"/>
      <c r="K206" s="46"/>
      <c r="L206" s="47">
        <f ca="1">IFERROR(__xludf.DUMMYFUNCTION("IMPORTRANGE(""https://docs.google.com/spreadsheets/d/1eHaY18a8A9IcSdp1K8H6x8fbOy06t2VsZHhMHf-1x7Y/edit?usp=sharing"",""แผน!AI27"")"),16000)</f>
        <v>16000</v>
      </c>
      <c r="M206" s="46"/>
      <c r="N206" s="248">
        <v>0</v>
      </c>
      <c r="O206" s="145"/>
      <c r="P206" s="46"/>
    </row>
    <row r="207" spans="1:16" ht="18.75" x14ac:dyDescent="0.25">
      <c r="A207" s="227"/>
      <c r="B207" s="228"/>
      <c r="C207" s="41"/>
      <c r="D207" s="254" t="s">
        <v>83</v>
      </c>
      <c r="E207" s="41"/>
      <c r="F207" s="41"/>
      <c r="G207" s="43"/>
      <c r="H207" s="44" t="s">
        <v>12</v>
      </c>
      <c r="I207" s="45"/>
      <c r="J207" s="45"/>
      <c r="K207" s="46"/>
      <c r="L207" s="47">
        <f ca="1">IFERROR(__xludf.DUMMYFUNCTION("IMPORTRANGE(""https://docs.google.com/spreadsheets/d/1eHaY18a8A9IcSdp1K8H6x8fbOy06t2VsZHhMHf-1x7Y/edit?usp=sharing"",""แผน!AJ27"")"),13000)</f>
        <v>13000</v>
      </c>
      <c r="M207" s="46"/>
      <c r="N207" s="248">
        <v>0</v>
      </c>
      <c r="O207" s="145"/>
      <c r="P207" s="46"/>
    </row>
    <row r="208" spans="1:16" ht="19.5" x14ac:dyDescent="0.3">
      <c r="A208" s="148"/>
      <c r="B208" s="149"/>
      <c r="C208" s="197" t="s">
        <v>16</v>
      </c>
      <c r="D208" s="395" t="s">
        <v>36</v>
      </c>
      <c r="E208" s="151"/>
      <c r="F208" s="151"/>
      <c r="G208" s="152"/>
      <c r="H208" s="153"/>
      <c r="I208" s="144"/>
      <c r="J208" s="144"/>
      <c r="K208" s="145"/>
      <c r="L208" s="145"/>
      <c r="M208" s="145"/>
      <c r="N208" s="145"/>
      <c r="O208" s="145"/>
      <c r="P208" s="145"/>
    </row>
    <row r="209" spans="1:16" ht="18.75" x14ac:dyDescent="0.25">
      <c r="A209" s="148"/>
      <c r="B209" s="149"/>
      <c r="C209" s="149"/>
      <c r="D209" s="154" t="s">
        <v>84</v>
      </c>
      <c r="E209" s="155"/>
      <c r="F209" s="155"/>
      <c r="G209" s="153"/>
      <c r="H209" s="249" t="s">
        <v>79</v>
      </c>
      <c r="I209" s="169">
        <f ca="1">IFERROR(__xludf.DUMMYFUNCTION("IMPORTRANGE(""https://docs.google.com/spreadsheets/d/1eHaY18a8A9IcSdp1K8H6x8fbOy06t2VsZHhMHf-1x7Y/edit?usp=sharing"",""แผน!AK27"")"),2)</f>
        <v>2</v>
      </c>
      <c r="J209" s="250">
        <v>0</v>
      </c>
      <c r="K209" s="163">
        <f ca="1">IF(I209&gt;0,J209*100/I209,0)</f>
        <v>0</v>
      </c>
      <c r="L209" s="46"/>
      <c r="M209" s="46"/>
      <c r="N209" s="46"/>
      <c r="O209" s="46"/>
      <c r="P209" s="46"/>
    </row>
    <row r="210" spans="1:16" ht="18.75" x14ac:dyDescent="0.25">
      <c r="A210" s="148"/>
      <c r="B210" s="149"/>
      <c r="C210" s="149"/>
      <c r="D210" s="159" t="s">
        <v>48</v>
      </c>
      <c r="E210" s="155"/>
      <c r="F210" s="155"/>
      <c r="G210" s="153"/>
      <c r="H210" s="153"/>
      <c r="I210" s="45"/>
      <c r="J210" s="45"/>
      <c r="K210" s="145"/>
      <c r="L210" s="46"/>
      <c r="M210" s="46"/>
      <c r="N210" s="46"/>
      <c r="O210" s="46"/>
      <c r="P210" s="46"/>
    </row>
    <row r="211" spans="1:16" ht="18.75" x14ac:dyDescent="0.25">
      <c r="A211" s="148"/>
      <c r="B211" s="149"/>
      <c r="C211" s="149"/>
      <c r="D211" s="155"/>
      <c r="E211" s="159" t="s">
        <v>85</v>
      </c>
      <c r="F211" s="155"/>
      <c r="G211" s="153"/>
      <c r="H211" s="249" t="s">
        <v>79</v>
      </c>
      <c r="I211" s="169">
        <f ca="1">IFERROR(__xludf.DUMMYFUNCTION("IMPORTRANGE(""https://docs.google.com/spreadsheets/d/1eHaY18a8A9IcSdp1K8H6x8fbOy06t2VsZHhMHf-1x7Y/edit?usp=sharing"",""แผน!AK27"")"),2)</f>
        <v>2</v>
      </c>
      <c r="J211" s="250">
        <v>0</v>
      </c>
      <c r="K211" s="163">
        <f ca="1">IF(I211&gt;0,J211*100/I211,0)</f>
        <v>0</v>
      </c>
      <c r="L211" s="46"/>
      <c r="M211" s="46"/>
      <c r="N211" s="46"/>
      <c r="O211" s="46"/>
      <c r="P211" s="46"/>
    </row>
    <row r="212" spans="1:16" ht="18.75" x14ac:dyDescent="0.25">
      <c r="A212" s="148"/>
      <c r="B212" s="149"/>
      <c r="C212" s="149"/>
      <c r="D212" s="155"/>
      <c r="E212" s="159" t="s">
        <v>86</v>
      </c>
      <c r="F212" s="155"/>
      <c r="G212" s="155"/>
      <c r="H212" s="251" t="s">
        <v>87</v>
      </c>
      <c r="I212" s="169">
        <f ca="1">IFERROR(__xludf.DUMMYFUNCTION("IMPORTRANGE(""https://docs.google.com/spreadsheets/d/1eHaY18a8A9IcSdp1K8H6x8fbOy06t2VsZHhMHf-1x7Y/edit?usp=sharing"",""แผน!AK27"")"),2)</f>
        <v>2</v>
      </c>
      <c r="J212" s="250">
        <v>0</v>
      </c>
      <c r="K212" s="163">
        <f ca="1">IF(I212&gt;0,J212*100/I212,0)</f>
        <v>0</v>
      </c>
      <c r="L212" s="46"/>
      <c r="M212" s="46"/>
      <c r="N212" s="46"/>
      <c r="O212" s="46"/>
      <c r="P212" s="46"/>
    </row>
    <row r="213" spans="1:16" ht="19.5" hidden="1" x14ac:dyDescent="0.3">
      <c r="A213" s="233"/>
      <c r="B213" s="234"/>
      <c r="C213" s="235" t="s">
        <v>88</v>
      </c>
      <c r="D213" s="236"/>
      <c r="E213" s="236"/>
      <c r="F213" s="236"/>
      <c r="G213" s="237"/>
      <c r="H213" s="245" t="s">
        <v>79</v>
      </c>
      <c r="I213" s="239">
        <f ca="1">I220</f>
        <v>0</v>
      </c>
      <c r="J213" s="239">
        <f>J220</f>
        <v>0</v>
      </c>
      <c r="K213" s="240">
        <f ca="1">IF(I213&gt;0,J213*100/I213,0)</f>
        <v>0</v>
      </c>
      <c r="L213" s="241"/>
      <c r="M213" s="241"/>
      <c r="N213" s="241"/>
      <c r="O213" s="241"/>
      <c r="P213" s="241"/>
    </row>
    <row r="214" spans="1:16" ht="19.5" hidden="1" x14ac:dyDescent="0.3">
      <c r="A214" s="136"/>
      <c r="B214" s="41"/>
      <c r="C214" s="197" t="s">
        <v>16</v>
      </c>
      <c r="D214" s="400" t="s">
        <v>17</v>
      </c>
      <c r="E214" s="41"/>
      <c r="F214" s="41"/>
      <c r="G214" s="43"/>
      <c r="H214" s="243" t="s">
        <v>12</v>
      </c>
      <c r="I214" s="144"/>
      <c r="J214" s="144"/>
      <c r="K214" s="145"/>
      <c r="L214" s="140">
        <f ca="1">L215+L216+L217</f>
        <v>0</v>
      </c>
      <c r="M214" s="46"/>
      <c r="N214" s="140">
        <f>N215+N216+N217</f>
        <v>0</v>
      </c>
      <c r="O214" s="140">
        <f ca="1">IF(L214&gt;0,N214*100/L214,0)</f>
        <v>0</v>
      </c>
      <c r="P214" s="140">
        <f>IF(M214&gt;0,N214*100/M214,0)</f>
        <v>0</v>
      </c>
    </row>
    <row r="215" spans="1:16" ht="18.75" hidden="1" x14ac:dyDescent="0.25">
      <c r="A215" s="136"/>
      <c r="B215" s="228"/>
      <c r="C215" s="41"/>
      <c r="D215" s="254" t="s">
        <v>80</v>
      </c>
      <c r="E215" s="41"/>
      <c r="F215" s="41"/>
      <c r="G215" s="43"/>
      <c r="H215" s="143" t="s">
        <v>12</v>
      </c>
      <c r="I215" s="144"/>
      <c r="J215" s="144"/>
      <c r="K215" s="145"/>
      <c r="L215" s="47">
        <f ca="1">IFERROR(__xludf.DUMMYFUNCTION("IMPORTRANGE(""https://docs.google.com/spreadsheets/d/1eHaY18a8A9IcSdp1K8H6x8fbOy06t2VsZHhMHf-1x7Y/edit?usp=sharing"",""แผน!AM27"")"),0)</f>
        <v>0</v>
      </c>
      <c r="M215" s="46"/>
      <c r="N215" s="248">
        <v>0</v>
      </c>
      <c r="O215" s="145"/>
      <c r="P215" s="46"/>
    </row>
    <row r="216" spans="1:16" ht="18.75" hidden="1" x14ac:dyDescent="0.25">
      <c r="A216" s="227"/>
      <c r="B216" s="228"/>
      <c r="C216" s="228"/>
      <c r="D216" s="254" t="s">
        <v>89</v>
      </c>
      <c r="E216" s="41"/>
      <c r="F216" s="41"/>
      <c r="G216" s="43"/>
      <c r="H216" s="143" t="s">
        <v>12</v>
      </c>
      <c r="I216" s="45"/>
      <c r="J216" s="45"/>
      <c r="K216" s="46"/>
      <c r="L216" s="47">
        <f ca="1">IFERROR(__xludf.DUMMYFUNCTION("IMPORTRANGE(""https://docs.google.com/spreadsheets/d/1eHaY18a8A9IcSdp1K8H6x8fbOy06t2VsZHhMHf-1x7Y/edit?usp=sharing"",""แผน!AN27"")"),0)</f>
        <v>0</v>
      </c>
      <c r="M216" s="46"/>
      <c r="N216" s="248">
        <v>0</v>
      </c>
      <c r="O216" s="145"/>
      <c r="P216" s="46"/>
    </row>
    <row r="217" spans="1:16" ht="18.75" hidden="1" x14ac:dyDescent="0.25">
      <c r="A217" s="227"/>
      <c r="B217" s="228"/>
      <c r="C217" s="228"/>
      <c r="D217" s="254" t="s">
        <v>82</v>
      </c>
      <c r="E217" s="41"/>
      <c r="F217" s="41"/>
      <c r="G217" s="43"/>
      <c r="H217" s="143" t="s">
        <v>12</v>
      </c>
      <c r="I217" s="45"/>
      <c r="J217" s="45"/>
      <c r="K217" s="46"/>
      <c r="L217" s="47">
        <f ca="1">IFERROR(__xludf.DUMMYFUNCTION("IMPORTRANGE(""https://docs.google.com/spreadsheets/d/1eHaY18a8A9IcSdp1K8H6x8fbOy06t2VsZHhMHf-1x7Y/edit?usp=sharing"",""แผน!AO27"")"),0)</f>
        <v>0</v>
      </c>
      <c r="M217" s="46"/>
      <c r="N217" s="248">
        <v>0</v>
      </c>
      <c r="O217" s="145"/>
      <c r="P217" s="46"/>
    </row>
    <row r="218" spans="1:16" ht="19.5" hidden="1" x14ac:dyDescent="0.3">
      <c r="A218" s="148"/>
      <c r="B218" s="149"/>
      <c r="C218" s="252" t="s">
        <v>16</v>
      </c>
      <c r="D218" s="395" t="s">
        <v>36</v>
      </c>
      <c r="E218" s="151"/>
      <c r="F218" s="151"/>
      <c r="G218" s="152"/>
      <c r="H218" s="153"/>
      <c r="I218" s="144"/>
      <c r="J218" s="45"/>
      <c r="K218" s="46"/>
      <c r="L218" s="46"/>
      <c r="M218" s="46"/>
      <c r="N218" s="46"/>
      <c r="O218" s="145"/>
      <c r="P218" s="145"/>
    </row>
    <row r="219" spans="1:16" ht="18.75" hidden="1" x14ac:dyDescent="0.25">
      <c r="A219" s="148"/>
      <c r="B219" s="149"/>
      <c r="C219" s="149"/>
      <c r="D219" s="154" t="s">
        <v>90</v>
      </c>
      <c r="E219" s="155"/>
      <c r="F219" s="155"/>
      <c r="G219" s="153"/>
      <c r="H219" s="249" t="s">
        <v>79</v>
      </c>
      <c r="I219" s="169">
        <f ca="1">IFERROR(__xludf.DUMMYFUNCTION("IMPORTRANGE(""https://docs.google.com/spreadsheets/d/1eHaY18a8A9IcSdp1K8H6x8fbOy06t2VsZHhMHf-1x7Y/edit?usp=sharing"",""แผน!AP27"")"),0)</f>
        <v>0</v>
      </c>
      <c r="J219" s="250">
        <v>0</v>
      </c>
      <c r="K219" s="47">
        <f ca="1">IF(I219&gt;0,J219*100/I219,0)</f>
        <v>0</v>
      </c>
      <c r="L219" s="46"/>
      <c r="M219" s="46"/>
      <c r="N219" s="46"/>
      <c r="O219" s="46"/>
      <c r="P219" s="46"/>
    </row>
    <row r="220" spans="1:16" ht="18.75" hidden="1" x14ac:dyDescent="0.25">
      <c r="A220" s="148"/>
      <c r="B220" s="149"/>
      <c r="C220" s="149"/>
      <c r="D220" s="154" t="s">
        <v>91</v>
      </c>
      <c r="E220" s="155"/>
      <c r="F220" s="155"/>
      <c r="G220" s="153"/>
      <c r="H220" s="249" t="s">
        <v>79</v>
      </c>
      <c r="I220" s="169">
        <f ca="1">IFERROR(__xludf.DUMMYFUNCTION("IMPORTRANGE(""https://docs.google.com/spreadsheets/d/1eHaY18a8A9IcSdp1K8H6x8fbOy06t2VsZHhMHf-1x7Y/edit?usp=sharing"",""แผน!AP27"")"),0)</f>
        <v>0</v>
      </c>
      <c r="J220" s="250">
        <v>0</v>
      </c>
      <c r="K220" s="47">
        <f ca="1">IF(I220&gt;0,J220*100/I220,0)</f>
        <v>0</v>
      </c>
      <c r="L220" s="46"/>
      <c r="M220" s="46"/>
      <c r="N220" s="46"/>
      <c r="O220" s="46"/>
      <c r="P220" s="46"/>
    </row>
    <row r="221" spans="1:16" ht="19.5" x14ac:dyDescent="0.3">
      <c r="A221" s="233"/>
      <c r="B221" s="234"/>
      <c r="C221" s="235" t="s">
        <v>92</v>
      </c>
      <c r="D221" s="236"/>
      <c r="E221" s="236"/>
      <c r="F221" s="236"/>
      <c r="G221" s="237"/>
      <c r="H221" s="238" t="s">
        <v>93</v>
      </c>
      <c r="I221" s="239">
        <f ca="1">I229</f>
        <v>100000</v>
      </c>
      <c r="J221" s="239">
        <f>J229</f>
        <v>0</v>
      </c>
      <c r="K221" s="240">
        <f ca="1">IF(I221&gt;0,J221*100/I221,0)</f>
        <v>0</v>
      </c>
      <c r="L221" s="241"/>
      <c r="M221" s="241"/>
      <c r="N221" s="241"/>
      <c r="O221" s="241"/>
      <c r="P221" s="241"/>
    </row>
    <row r="222" spans="1:16" ht="19.5" x14ac:dyDescent="0.3">
      <c r="A222" s="136"/>
      <c r="B222" s="41"/>
      <c r="C222" s="197" t="s">
        <v>16</v>
      </c>
      <c r="D222" s="400" t="s">
        <v>17</v>
      </c>
      <c r="E222" s="41"/>
      <c r="F222" s="41"/>
      <c r="G222" s="43"/>
      <c r="H222" s="243" t="s">
        <v>12</v>
      </c>
      <c r="I222" s="144"/>
      <c r="J222" s="144"/>
      <c r="K222" s="145"/>
      <c r="L222" s="140">
        <f ca="1">L223+L224+L225</f>
        <v>12500</v>
      </c>
      <c r="M222" s="46"/>
      <c r="N222" s="140">
        <f>N223+N224+N225</f>
        <v>0</v>
      </c>
      <c r="O222" s="140">
        <f ca="1">IF(L222&gt;0,N222*100/L222,0)</f>
        <v>0</v>
      </c>
      <c r="P222" s="140">
        <f>IF(M222&gt;0,N222*100/M222,0)</f>
        <v>0</v>
      </c>
    </row>
    <row r="223" spans="1:16" ht="18.75" x14ac:dyDescent="0.25">
      <c r="A223" s="136"/>
      <c r="B223" s="228"/>
      <c r="C223" s="41"/>
      <c r="D223" s="253" t="s">
        <v>94</v>
      </c>
      <c r="E223" s="41"/>
      <c r="F223" s="41"/>
      <c r="G223" s="43"/>
      <c r="H223" s="143" t="s">
        <v>12</v>
      </c>
      <c r="I223" s="144"/>
      <c r="J223" s="144"/>
      <c r="K223" s="145"/>
      <c r="L223" s="47">
        <f ca="1">IFERROR(__xludf.DUMMYFUNCTION("IMPORTRANGE(""https://docs.google.com/spreadsheets/d/1eHaY18a8A9IcSdp1K8H6x8fbOy06t2VsZHhMHf-1x7Y/edit?usp=sharing"",""แผน!AR27"")"),11000)</f>
        <v>11000</v>
      </c>
      <c r="M223" s="46"/>
      <c r="N223" s="248">
        <v>0</v>
      </c>
      <c r="O223" s="145"/>
      <c r="P223" s="46"/>
    </row>
    <row r="224" spans="1:16" ht="18.75" x14ac:dyDescent="0.25">
      <c r="A224" s="227"/>
      <c r="B224" s="228"/>
      <c r="C224" s="228"/>
      <c r="D224" s="254" t="s">
        <v>95</v>
      </c>
      <c r="E224" s="41"/>
      <c r="F224" s="41"/>
      <c r="G224" s="43"/>
      <c r="H224" s="143" t="s">
        <v>12</v>
      </c>
      <c r="I224" s="45"/>
      <c r="J224" s="45"/>
      <c r="K224" s="46"/>
      <c r="L224" s="47">
        <f ca="1">IFERROR(__xludf.DUMMYFUNCTION("IMPORTRANGE(""https://docs.google.com/spreadsheets/d/1eHaY18a8A9IcSdp1K8H6x8fbOy06t2VsZHhMHf-1x7Y/edit?usp=sharing"",""แผน!AS27"")"),1500)</f>
        <v>1500</v>
      </c>
      <c r="M224" s="46"/>
      <c r="N224" s="248">
        <v>0</v>
      </c>
      <c r="O224" s="145"/>
      <c r="P224" s="46"/>
    </row>
    <row r="225" spans="1:16" ht="18.75" x14ac:dyDescent="0.25">
      <c r="A225" s="227"/>
      <c r="B225" s="228"/>
      <c r="C225" s="228"/>
      <c r="D225" s="254" t="s">
        <v>82</v>
      </c>
      <c r="E225" s="41"/>
      <c r="F225" s="41"/>
      <c r="G225" s="43"/>
      <c r="H225" s="143" t="s">
        <v>12</v>
      </c>
      <c r="I225" s="45"/>
      <c r="J225" s="45"/>
      <c r="K225" s="46"/>
      <c r="L225" s="47">
        <f ca="1">IFERROR(__xludf.DUMMYFUNCTION("IMPORTRANGE(""https://docs.google.com/spreadsheets/d/1eHaY18a8A9IcSdp1K8H6x8fbOy06t2VsZHhMHf-1x7Y/edit?usp=sharing"",""แผน!AT27"")"),0)</f>
        <v>0</v>
      </c>
      <c r="M225" s="46"/>
      <c r="N225" s="248">
        <v>0</v>
      </c>
      <c r="O225" s="145"/>
      <c r="P225" s="46"/>
    </row>
    <row r="226" spans="1:16" ht="19.5" x14ac:dyDescent="0.3">
      <c r="A226" s="148"/>
      <c r="B226" s="149"/>
      <c r="C226" s="252" t="s">
        <v>16</v>
      </c>
      <c r="D226" s="395" t="s">
        <v>36</v>
      </c>
      <c r="E226" s="151"/>
      <c r="F226" s="151"/>
      <c r="G226" s="152"/>
      <c r="H226" s="153"/>
      <c r="I226" s="144"/>
      <c r="J226" s="144"/>
      <c r="K226" s="145"/>
      <c r="L226" s="145"/>
      <c r="M226" s="145"/>
      <c r="N226" s="145"/>
      <c r="O226" s="145"/>
      <c r="P226" s="145"/>
    </row>
    <row r="227" spans="1:16" ht="18.75" x14ac:dyDescent="0.25">
      <c r="A227" s="148"/>
      <c r="B227" s="149"/>
      <c r="C227" s="149"/>
      <c r="D227" s="254" t="s">
        <v>96</v>
      </c>
      <c r="E227" s="155"/>
      <c r="F227" s="155"/>
      <c r="G227" s="153"/>
      <c r="H227" s="153"/>
      <c r="I227" s="45"/>
      <c r="J227" s="45"/>
      <c r="K227" s="145"/>
      <c r="L227" s="145"/>
      <c r="M227" s="145"/>
      <c r="N227" s="145"/>
      <c r="O227" s="145"/>
      <c r="P227" s="145"/>
    </row>
    <row r="228" spans="1:16" ht="18.75" x14ac:dyDescent="0.25">
      <c r="A228" s="148"/>
      <c r="B228" s="149"/>
      <c r="C228" s="149"/>
      <c r="D228" s="149"/>
      <c r="E228" s="154" t="s">
        <v>97</v>
      </c>
      <c r="F228" s="155"/>
      <c r="G228" s="153"/>
      <c r="H228" s="251" t="s">
        <v>93</v>
      </c>
      <c r="I228" s="169">
        <f ca="1">IFERROR(__xludf.DUMMYFUNCTION("IMPORTRANGE(""https://docs.google.com/spreadsheets/d/1eHaY18a8A9IcSdp1K8H6x8fbOy06t2VsZHhMHf-1x7Y/edit?usp=sharing"",""แผน!AV27"")"),100000)</f>
        <v>100000</v>
      </c>
      <c r="J228" s="250">
        <v>0</v>
      </c>
      <c r="K228" s="163">
        <f ca="1">IF(I228&gt;0,J228*100/I228,0)</f>
        <v>0</v>
      </c>
      <c r="L228" s="145"/>
      <c r="M228" s="145"/>
      <c r="N228" s="145"/>
      <c r="O228" s="145"/>
      <c r="P228" s="145"/>
    </row>
    <row r="229" spans="1:16" ht="18.75" x14ac:dyDescent="0.25">
      <c r="A229" s="148"/>
      <c r="B229" s="149"/>
      <c r="C229" s="149"/>
      <c r="D229" s="149"/>
      <c r="E229" s="154" t="s">
        <v>98</v>
      </c>
      <c r="F229" s="155"/>
      <c r="G229" s="153"/>
      <c r="H229" s="251" t="s">
        <v>93</v>
      </c>
      <c r="I229" s="169">
        <f ca="1">IFERROR(__xludf.DUMMYFUNCTION("IMPORTRANGE(""https://docs.google.com/spreadsheets/d/1eHaY18a8A9IcSdp1K8H6x8fbOy06t2VsZHhMHf-1x7Y/edit?usp=sharing"",""แผน!AV27"")"),100000)</f>
        <v>100000</v>
      </c>
      <c r="J229" s="250">
        <v>0</v>
      </c>
      <c r="K229" s="163">
        <f ca="1">IF(I229&gt;0,J229*100/I229,0)</f>
        <v>0</v>
      </c>
      <c r="L229" s="46"/>
      <c r="M229" s="46"/>
      <c r="N229" s="46"/>
      <c r="O229" s="46"/>
      <c r="P229" s="46"/>
    </row>
    <row r="230" spans="1:16" ht="18.75" x14ac:dyDescent="0.25">
      <c r="A230" s="148"/>
      <c r="B230" s="149"/>
      <c r="C230" s="149"/>
      <c r="D230" s="254" t="s">
        <v>99</v>
      </c>
      <c r="E230" s="155"/>
      <c r="F230" s="155"/>
      <c r="G230" s="153"/>
      <c r="H230" s="251" t="s">
        <v>33</v>
      </c>
      <c r="I230" s="169">
        <f ca="1">IFERROR(__xludf.DUMMYFUNCTION("IMPORTRANGE(""https://docs.google.com/spreadsheets/d/1eHaY18a8A9IcSdp1K8H6x8fbOy06t2VsZHhMHf-1x7Y/edit?usp=sharing"",""แผน!AU27"")"),0)</f>
        <v>0</v>
      </c>
      <c r="J230" s="250">
        <v>0</v>
      </c>
      <c r="K230" s="163">
        <f ca="1">IF(I230&gt;0,J230*100/I230,0)</f>
        <v>0</v>
      </c>
      <c r="L230" s="46"/>
      <c r="M230" s="46"/>
      <c r="N230" s="46"/>
      <c r="O230" s="46"/>
      <c r="P230" s="46"/>
    </row>
    <row r="231" spans="1:16" ht="19.5" hidden="1" x14ac:dyDescent="0.3">
      <c r="A231" s="464"/>
      <c r="B231" s="463"/>
      <c r="C231" s="256" t="s">
        <v>100</v>
      </c>
      <c r="D231" s="462"/>
      <c r="E231" s="462"/>
      <c r="F231" s="462"/>
      <c r="G231" s="461"/>
      <c r="H231" s="257" t="s">
        <v>33</v>
      </c>
      <c r="I231" s="258">
        <f ca="1">I242+I253</f>
        <v>40</v>
      </c>
      <c r="J231" s="258">
        <f>J242+J253</f>
        <v>10</v>
      </c>
      <c r="K231" s="259">
        <f ca="1">IF(I231&gt;0,J231*100/I231,0)</f>
        <v>25</v>
      </c>
      <c r="L231" s="460"/>
      <c r="M231" s="460"/>
      <c r="N231" s="460"/>
      <c r="O231" s="460"/>
      <c r="P231" s="460"/>
    </row>
    <row r="232" spans="1:16" ht="19.5" hidden="1" x14ac:dyDescent="0.3">
      <c r="A232" s="459"/>
      <c r="B232" s="456"/>
      <c r="C232" s="260" t="s">
        <v>16</v>
      </c>
      <c r="D232" s="261" t="s">
        <v>17</v>
      </c>
      <c r="E232" s="456"/>
      <c r="F232" s="456"/>
      <c r="G232" s="455"/>
      <c r="H232" s="262" t="s">
        <v>12</v>
      </c>
      <c r="I232" s="452"/>
      <c r="J232" s="452"/>
      <c r="K232" s="450"/>
      <c r="L232" s="263">
        <f ca="1">L243+L254</f>
        <v>403100</v>
      </c>
      <c r="M232" s="445"/>
      <c r="N232" s="263">
        <f>N243+N254</f>
        <v>52990</v>
      </c>
      <c r="O232" s="445"/>
      <c r="P232" s="445"/>
    </row>
    <row r="233" spans="1:16" ht="18.75" hidden="1" x14ac:dyDescent="0.25">
      <c r="A233" s="459"/>
      <c r="B233" s="457"/>
      <c r="C233" s="456"/>
      <c r="D233" s="253" t="s">
        <v>153</v>
      </c>
      <c r="E233" s="456"/>
      <c r="F233" s="456"/>
      <c r="G233" s="455"/>
      <c r="H233" s="146" t="s">
        <v>12</v>
      </c>
      <c r="I233" s="452"/>
      <c r="J233" s="452"/>
      <c r="K233" s="450"/>
      <c r="L233" s="50">
        <f ca="1">L244+L255</f>
        <v>257900</v>
      </c>
      <c r="M233" s="445"/>
      <c r="N233" s="50">
        <f>N244+N255</f>
        <v>34600</v>
      </c>
      <c r="O233" s="445"/>
      <c r="P233" s="445"/>
    </row>
    <row r="234" spans="1:16" ht="18.75" hidden="1" x14ac:dyDescent="0.25">
      <c r="A234" s="458"/>
      <c r="B234" s="457"/>
      <c r="C234" s="457"/>
      <c r="D234" s="254" t="s">
        <v>81</v>
      </c>
      <c r="E234" s="456"/>
      <c r="F234" s="456"/>
      <c r="G234" s="455"/>
      <c r="H234" s="146" t="s">
        <v>12</v>
      </c>
      <c r="I234" s="451"/>
      <c r="J234" s="451"/>
      <c r="K234" s="445"/>
      <c r="L234" s="50">
        <f ca="1">L245+L256</f>
        <v>5000</v>
      </c>
      <c r="M234" s="445"/>
      <c r="N234" s="50">
        <f>N245+N256</f>
        <v>18390</v>
      </c>
      <c r="O234" s="445"/>
      <c r="P234" s="445"/>
    </row>
    <row r="235" spans="1:16" ht="18.75" hidden="1" x14ac:dyDescent="0.25">
      <c r="A235" s="458"/>
      <c r="B235" s="457"/>
      <c r="C235" s="457"/>
      <c r="D235" s="254" t="s">
        <v>82</v>
      </c>
      <c r="E235" s="456"/>
      <c r="F235" s="456"/>
      <c r="G235" s="455"/>
      <c r="H235" s="146" t="s">
        <v>12</v>
      </c>
      <c r="I235" s="451"/>
      <c r="J235" s="451"/>
      <c r="K235" s="445"/>
      <c r="L235" s="50">
        <f ca="1">L246+L257</f>
        <v>87200</v>
      </c>
      <c r="M235" s="445"/>
      <c r="N235" s="50">
        <f>N246+N257</f>
        <v>0</v>
      </c>
      <c r="O235" s="445"/>
      <c r="P235" s="445"/>
    </row>
    <row r="236" spans="1:16" ht="18.75" hidden="1" x14ac:dyDescent="0.25">
      <c r="A236" s="458"/>
      <c r="B236" s="457"/>
      <c r="C236" s="457"/>
      <c r="D236" s="254" t="s">
        <v>83</v>
      </c>
      <c r="E236" s="456"/>
      <c r="F236" s="456"/>
      <c r="G236" s="455"/>
      <c r="H236" s="146" t="s">
        <v>12</v>
      </c>
      <c r="I236" s="451"/>
      <c r="J236" s="451"/>
      <c r="K236" s="445"/>
      <c r="L236" s="50">
        <f ca="1">L247+L258</f>
        <v>53000</v>
      </c>
      <c r="M236" s="445"/>
      <c r="N236" s="50">
        <f>N247+N258</f>
        <v>0</v>
      </c>
      <c r="O236" s="445"/>
      <c r="P236" s="445"/>
    </row>
    <row r="237" spans="1:16" ht="19.5" hidden="1" x14ac:dyDescent="0.3">
      <c r="A237" s="449"/>
      <c r="B237" s="448"/>
      <c r="C237" s="265" t="s">
        <v>16</v>
      </c>
      <c r="D237" s="394" t="s">
        <v>36</v>
      </c>
      <c r="E237" s="454"/>
      <c r="F237" s="454"/>
      <c r="G237" s="453"/>
      <c r="H237" s="446"/>
      <c r="I237" s="452"/>
      <c r="J237" s="451"/>
      <c r="K237" s="445"/>
      <c r="L237" s="445"/>
      <c r="M237" s="445"/>
      <c r="N237" s="445"/>
      <c r="O237" s="450"/>
      <c r="P237" s="450"/>
    </row>
    <row r="238" spans="1:16" ht="18.75" hidden="1" x14ac:dyDescent="0.25">
      <c r="A238" s="449"/>
      <c r="B238" s="448"/>
      <c r="C238" s="448"/>
      <c r="D238" s="267" t="s">
        <v>103</v>
      </c>
      <c r="E238" s="447"/>
      <c r="F238" s="447"/>
      <c r="G238" s="446"/>
      <c r="H238" s="268" t="s">
        <v>33</v>
      </c>
      <c r="I238" s="200">
        <f ca="1">I249+I260</f>
        <v>40</v>
      </c>
      <c r="J238" s="200">
        <f>J249+J260</f>
        <v>10</v>
      </c>
      <c r="K238" s="50">
        <f ca="1">IF(I238&gt;0,J238*100/I238,0)</f>
        <v>25</v>
      </c>
      <c r="L238" s="445"/>
      <c r="M238" s="445"/>
      <c r="N238" s="445"/>
      <c r="O238" s="445"/>
      <c r="P238" s="445"/>
    </row>
    <row r="239" spans="1:16" ht="18.75" hidden="1" x14ac:dyDescent="0.25">
      <c r="A239" s="449"/>
      <c r="B239" s="448"/>
      <c r="C239" s="448"/>
      <c r="D239" s="269" t="s">
        <v>41</v>
      </c>
      <c r="E239" s="447"/>
      <c r="F239" s="447"/>
      <c r="G239" s="446"/>
      <c r="H239" s="446"/>
      <c r="I239" s="451"/>
      <c r="J239" s="451"/>
      <c r="K239" s="445"/>
      <c r="L239" s="445"/>
      <c r="M239" s="445"/>
      <c r="N239" s="445"/>
      <c r="O239" s="450"/>
      <c r="P239" s="450"/>
    </row>
    <row r="240" spans="1:16" ht="18.75" hidden="1" x14ac:dyDescent="0.25">
      <c r="A240" s="449"/>
      <c r="B240" s="448"/>
      <c r="C240" s="448"/>
      <c r="D240" s="448"/>
      <c r="E240" s="270" t="s">
        <v>104</v>
      </c>
      <c r="F240" s="447"/>
      <c r="G240" s="446"/>
      <c r="H240" s="268" t="s">
        <v>33</v>
      </c>
      <c r="I240" s="200">
        <f>I251+I262</f>
        <v>0</v>
      </c>
      <c r="J240" s="200">
        <f>J251+J262</f>
        <v>0</v>
      </c>
      <c r="K240" s="50">
        <f>IF(I240&gt;0,J240*100/I240,0)</f>
        <v>0</v>
      </c>
      <c r="L240" s="445"/>
      <c r="M240" s="445"/>
      <c r="N240" s="445"/>
      <c r="O240" s="445"/>
      <c r="P240" s="445"/>
    </row>
    <row r="241" spans="1:16" ht="18.75" hidden="1" x14ac:dyDescent="0.25">
      <c r="A241" s="449"/>
      <c r="B241" s="448"/>
      <c r="C241" s="448"/>
      <c r="D241" s="448"/>
      <c r="E241" s="270" t="s">
        <v>105</v>
      </c>
      <c r="F241" s="447"/>
      <c r="G241" s="446"/>
      <c r="H241" s="268" t="s">
        <v>54</v>
      </c>
      <c r="I241" s="200">
        <f>I252+I263</f>
        <v>0</v>
      </c>
      <c r="J241" s="200">
        <f>J252+J263</f>
        <v>0</v>
      </c>
      <c r="K241" s="50">
        <f>IF(I241&gt;0,J241*100/I241,0)</f>
        <v>0</v>
      </c>
      <c r="L241" s="445"/>
      <c r="M241" s="445"/>
      <c r="N241" s="445"/>
      <c r="O241" s="445"/>
      <c r="P241" s="445"/>
    </row>
    <row r="242" spans="1:16" ht="19.5" x14ac:dyDescent="0.3">
      <c r="A242" s="444"/>
      <c r="B242" s="443"/>
      <c r="C242" s="442" t="s">
        <v>170</v>
      </c>
      <c r="D242" s="441"/>
      <c r="E242" s="441"/>
      <c r="F242" s="441"/>
      <c r="G242" s="440"/>
      <c r="H242" s="439" t="s">
        <v>33</v>
      </c>
      <c r="I242" s="438">
        <f ca="1">I249</f>
        <v>40</v>
      </c>
      <c r="J242" s="438">
        <f>J249</f>
        <v>10</v>
      </c>
      <c r="K242" s="437">
        <f ca="1">IF(I242&gt;0,J242*100/I242,0)</f>
        <v>25</v>
      </c>
      <c r="L242" s="436"/>
      <c r="M242" s="436"/>
      <c r="N242" s="436"/>
      <c r="O242" s="436"/>
      <c r="P242" s="436"/>
    </row>
    <row r="243" spans="1:16" ht="19.5" x14ac:dyDescent="0.3">
      <c r="A243" s="431"/>
      <c r="B243" s="428"/>
      <c r="C243" s="435" t="s">
        <v>16</v>
      </c>
      <c r="D243" s="434" t="s">
        <v>17</v>
      </c>
      <c r="E243" s="428"/>
      <c r="F243" s="428"/>
      <c r="G243" s="427"/>
      <c r="H243" s="433" t="s">
        <v>12</v>
      </c>
      <c r="I243" s="420"/>
      <c r="J243" s="420"/>
      <c r="K243" s="416"/>
      <c r="L243" s="432">
        <f ca="1">L244+L245+L246+L247</f>
        <v>403100</v>
      </c>
      <c r="M243" s="406"/>
      <c r="N243" s="432">
        <f>N244+N245+N246+N247</f>
        <v>52990</v>
      </c>
      <c r="O243" s="432">
        <f ca="1">IF(L243&gt;0,N243*100/L243,0)</f>
        <v>13.145621433887372</v>
      </c>
      <c r="P243" s="432">
        <f>IF(M243&gt;0,N243*100/M243,0)</f>
        <v>0</v>
      </c>
    </row>
    <row r="244" spans="1:16" ht="18.75" x14ac:dyDescent="0.25">
      <c r="A244" s="431"/>
      <c r="B244" s="429"/>
      <c r="C244" s="428"/>
      <c r="D244" s="253" t="s">
        <v>153</v>
      </c>
      <c r="E244" s="428"/>
      <c r="F244" s="428"/>
      <c r="G244" s="427"/>
      <c r="H244" s="426" t="s">
        <v>12</v>
      </c>
      <c r="I244" s="420"/>
      <c r="J244" s="420"/>
      <c r="K244" s="416"/>
      <c r="L244" s="407">
        <f ca="1">IFERROR(__xludf.DUMMYFUNCTION("IMPORTRANGE(""https://docs.google.com/spreadsheets/d/1eHaY18a8A9IcSdp1K8H6x8fbOy06t2VsZHhMHf-1x7Y/edit?usp=sharing"",""แผน!AX27"")"),257900)</f>
        <v>257900</v>
      </c>
      <c r="M244" s="406"/>
      <c r="N244" s="425">
        <v>34600</v>
      </c>
      <c r="O244" s="406"/>
      <c r="P244" s="406"/>
    </row>
    <row r="245" spans="1:16" ht="18.75" x14ac:dyDescent="0.25">
      <c r="A245" s="430"/>
      <c r="B245" s="429"/>
      <c r="C245" s="429"/>
      <c r="D245" s="254" t="s">
        <v>81</v>
      </c>
      <c r="E245" s="428"/>
      <c r="F245" s="428"/>
      <c r="G245" s="427"/>
      <c r="H245" s="426" t="s">
        <v>12</v>
      </c>
      <c r="I245" s="417"/>
      <c r="J245" s="417"/>
      <c r="K245" s="406"/>
      <c r="L245" s="407">
        <f ca="1">IFERROR(__xludf.DUMMYFUNCTION("IMPORTRANGE(""https://docs.google.com/spreadsheets/d/1eHaY18a8A9IcSdp1K8H6x8fbOy06t2VsZHhMHf-1x7Y/edit?usp=sharing"",""แผน!AY27"")"),5000)</f>
        <v>5000</v>
      </c>
      <c r="M245" s="406"/>
      <c r="N245" s="425">
        <v>18390</v>
      </c>
      <c r="O245" s="406"/>
      <c r="P245" s="406"/>
    </row>
    <row r="246" spans="1:16" ht="18.75" x14ac:dyDescent="0.25">
      <c r="A246" s="430"/>
      <c r="B246" s="429"/>
      <c r="C246" s="429"/>
      <c r="D246" s="254" t="s">
        <v>82</v>
      </c>
      <c r="E246" s="428"/>
      <c r="F246" s="428"/>
      <c r="G246" s="427"/>
      <c r="H246" s="426" t="s">
        <v>12</v>
      </c>
      <c r="I246" s="417"/>
      <c r="J246" s="417"/>
      <c r="K246" s="406"/>
      <c r="L246" s="407">
        <f ca="1">IFERROR(__xludf.DUMMYFUNCTION("IMPORTRANGE(""https://docs.google.com/spreadsheets/d/1eHaY18a8A9IcSdp1K8H6x8fbOy06t2VsZHhMHf-1x7Y/edit?usp=sharing"",""แผน!AZ27"")"),87200)</f>
        <v>87200</v>
      </c>
      <c r="M246" s="406"/>
      <c r="N246" s="425">
        <v>0</v>
      </c>
      <c r="O246" s="406"/>
      <c r="P246" s="406"/>
    </row>
    <row r="247" spans="1:16" ht="18.75" x14ac:dyDescent="0.25">
      <c r="A247" s="430"/>
      <c r="B247" s="429"/>
      <c r="C247" s="429"/>
      <c r="D247" s="254" t="s">
        <v>83</v>
      </c>
      <c r="E247" s="428"/>
      <c r="F247" s="428"/>
      <c r="G247" s="427"/>
      <c r="H247" s="426" t="s">
        <v>12</v>
      </c>
      <c r="I247" s="417"/>
      <c r="J247" s="417"/>
      <c r="K247" s="406"/>
      <c r="L247" s="407">
        <f ca="1">IFERROR(__xludf.DUMMYFUNCTION("IMPORTRANGE(""https://docs.google.com/spreadsheets/d/1eHaY18a8A9IcSdp1K8H6x8fbOy06t2VsZHhMHf-1x7Y/edit?usp=sharing"",""แผน!BA27"")"),53000)</f>
        <v>53000</v>
      </c>
      <c r="M247" s="406"/>
      <c r="N247" s="425">
        <v>0</v>
      </c>
      <c r="O247" s="406"/>
      <c r="P247" s="406"/>
    </row>
    <row r="248" spans="1:16" ht="19.5" x14ac:dyDescent="0.3">
      <c r="A248" s="415"/>
      <c r="B248" s="414"/>
      <c r="C248" s="424" t="s">
        <v>16</v>
      </c>
      <c r="D248" s="423" t="s">
        <v>36</v>
      </c>
      <c r="E248" s="422"/>
      <c r="F248" s="422"/>
      <c r="G248" s="421"/>
      <c r="H248" s="411"/>
      <c r="I248" s="420"/>
      <c r="J248" s="417"/>
      <c r="K248" s="406"/>
      <c r="L248" s="406"/>
      <c r="M248" s="406"/>
      <c r="N248" s="406"/>
      <c r="O248" s="416"/>
      <c r="P248" s="416"/>
    </row>
    <row r="249" spans="1:16" ht="18.75" x14ac:dyDescent="0.25">
      <c r="A249" s="415"/>
      <c r="B249" s="414"/>
      <c r="C249" s="414"/>
      <c r="D249" s="419" t="s">
        <v>103</v>
      </c>
      <c r="E249" s="412"/>
      <c r="F249" s="412"/>
      <c r="G249" s="411"/>
      <c r="H249" s="410" t="s">
        <v>33</v>
      </c>
      <c r="I249" s="409">
        <f ca="1">IFERROR(__xludf.DUMMYFUNCTION("IMPORTRANGE(""https://docs.google.com/spreadsheets/d/1eHaY18a8A9IcSdp1K8H6x8fbOy06t2VsZHhMHf-1x7Y/edit?usp=sharing"",""แผน!BG27"")"),40)</f>
        <v>40</v>
      </c>
      <c r="J249" s="408">
        <v>10</v>
      </c>
      <c r="K249" s="407">
        <f ca="1">IF(I249&gt;0,J249*100/I249,0)</f>
        <v>25</v>
      </c>
      <c r="L249" s="406"/>
      <c r="M249" s="406"/>
      <c r="N249" s="406"/>
      <c r="O249" s="406"/>
      <c r="P249" s="406"/>
    </row>
    <row r="250" spans="1:16" ht="18.75" x14ac:dyDescent="0.25">
      <c r="A250" s="415"/>
      <c r="B250" s="414"/>
      <c r="C250" s="414"/>
      <c r="D250" s="418" t="s">
        <v>41</v>
      </c>
      <c r="E250" s="412"/>
      <c r="F250" s="412"/>
      <c r="G250" s="411"/>
      <c r="H250" s="411"/>
      <c r="I250" s="417"/>
      <c r="J250" s="417"/>
      <c r="K250" s="406"/>
      <c r="L250" s="406"/>
      <c r="M250" s="406"/>
      <c r="N250" s="406"/>
      <c r="O250" s="416"/>
      <c r="P250" s="416"/>
    </row>
    <row r="251" spans="1:16" ht="18.75" x14ac:dyDescent="0.25">
      <c r="A251" s="415"/>
      <c r="B251" s="414"/>
      <c r="C251" s="414"/>
      <c r="D251" s="414"/>
      <c r="E251" s="413" t="s">
        <v>104</v>
      </c>
      <c r="F251" s="412"/>
      <c r="G251" s="411"/>
      <c r="H251" s="410" t="s">
        <v>33</v>
      </c>
      <c r="I251" s="409">
        <v>0</v>
      </c>
      <c r="J251" s="408">
        <v>0</v>
      </c>
      <c r="K251" s="407">
        <f>IF(I251&gt;0,J251*100/I251,0)</f>
        <v>0</v>
      </c>
      <c r="L251" s="406"/>
      <c r="M251" s="406"/>
      <c r="N251" s="406"/>
      <c r="O251" s="406"/>
      <c r="P251" s="406"/>
    </row>
    <row r="252" spans="1:16" ht="18.75" x14ac:dyDescent="0.25">
      <c r="A252" s="415"/>
      <c r="B252" s="414"/>
      <c r="C252" s="414"/>
      <c r="D252" s="414"/>
      <c r="E252" s="413" t="s">
        <v>105</v>
      </c>
      <c r="F252" s="412"/>
      <c r="G252" s="411"/>
      <c r="H252" s="410" t="s">
        <v>54</v>
      </c>
      <c r="I252" s="409">
        <v>0</v>
      </c>
      <c r="J252" s="408">
        <v>0</v>
      </c>
      <c r="K252" s="407">
        <f>IF(I252&gt;0,J252*100/I252,0)</f>
        <v>0</v>
      </c>
      <c r="L252" s="406"/>
      <c r="M252" s="406"/>
      <c r="N252" s="406"/>
      <c r="O252" s="406"/>
      <c r="P252" s="406"/>
    </row>
    <row r="253" spans="1:16" ht="19.5" hidden="1" x14ac:dyDescent="0.3">
      <c r="A253" s="233"/>
      <c r="B253" s="234"/>
      <c r="C253" s="256" t="s">
        <v>107</v>
      </c>
      <c r="D253" s="236"/>
      <c r="E253" s="236"/>
      <c r="F253" s="236"/>
      <c r="G253" s="237"/>
      <c r="H253" s="257" t="s">
        <v>33</v>
      </c>
      <c r="I253" s="258">
        <f ca="1">I260</f>
        <v>0</v>
      </c>
      <c r="J253" s="258">
        <f>J260</f>
        <v>0</v>
      </c>
      <c r="K253" s="259">
        <f ca="1">IF(I253&gt;0,J253*100/I253,0)</f>
        <v>0</v>
      </c>
      <c r="L253" s="241"/>
      <c r="M253" s="241"/>
      <c r="N253" s="241"/>
      <c r="O253" s="241"/>
      <c r="P253" s="241"/>
    </row>
    <row r="254" spans="1:16" ht="19.5" hidden="1" x14ac:dyDescent="0.3">
      <c r="A254" s="136"/>
      <c r="B254" s="41"/>
      <c r="C254" s="260" t="s">
        <v>16</v>
      </c>
      <c r="D254" s="399" t="s">
        <v>17</v>
      </c>
      <c r="E254" s="41"/>
      <c r="F254" s="41"/>
      <c r="G254" s="43"/>
      <c r="H254" s="262" t="s">
        <v>12</v>
      </c>
      <c r="I254" s="144"/>
      <c r="J254" s="144"/>
      <c r="K254" s="145"/>
      <c r="L254" s="263">
        <f ca="1">L255+L256+L257+L258</f>
        <v>0</v>
      </c>
      <c r="M254" s="46"/>
      <c r="N254" s="263">
        <f>N255+N256+N257+N258</f>
        <v>0</v>
      </c>
      <c r="O254" s="263">
        <f ca="1">IF(L254&gt;0,N254*100/L254,0)</f>
        <v>0</v>
      </c>
      <c r="P254" s="263">
        <f>IF(M254&gt;0,N254*100/M254,0)</f>
        <v>0</v>
      </c>
    </row>
    <row r="255" spans="1:16" ht="18.75" hidden="1" x14ac:dyDescent="0.25">
      <c r="A255" s="136"/>
      <c r="B255" s="228"/>
      <c r="C255" s="41"/>
      <c r="D255" s="253" t="s">
        <v>153</v>
      </c>
      <c r="E255" s="41"/>
      <c r="F255" s="41"/>
      <c r="G255" s="43"/>
      <c r="H255" s="146" t="s">
        <v>12</v>
      </c>
      <c r="I255" s="144"/>
      <c r="J255" s="144"/>
      <c r="K255" s="145"/>
      <c r="L255" s="50">
        <f ca="1">IFERROR(__xludf.DUMMYFUNCTION("IMPORTRANGE(""https://docs.google.com/spreadsheets/d/1eHaY18a8A9IcSdp1K8H6x8fbOy06t2VsZHhMHf-1x7Y/edit?usp=sharing"",""แผน!BB27"")"),0)</f>
        <v>0</v>
      </c>
      <c r="M255" s="46"/>
      <c r="N255" s="264">
        <v>0</v>
      </c>
      <c r="O255" s="46"/>
      <c r="P255" s="46"/>
    </row>
    <row r="256" spans="1:16" ht="18.75" hidden="1" x14ac:dyDescent="0.25">
      <c r="A256" s="227"/>
      <c r="B256" s="228"/>
      <c r="C256" s="228"/>
      <c r="D256" s="254" t="s">
        <v>81</v>
      </c>
      <c r="E256" s="41"/>
      <c r="F256" s="41"/>
      <c r="G256" s="43"/>
      <c r="H256" s="146" t="s">
        <v>12</v>
      </c>
      <c r="I256" s="45"/>
      <c r="J256" s="45"/>
      <c r="K256" s="46"/>
      <c r="L256" s="50">
        <f ca="1">IFERROR(__xludf.DUMMYFUNCTION("IMPORTRANGE(""https://docs.google.com/spreadsheets/d/1eHaY18a8A9IcSdp1K8H6x8fbOy06t2VsZHhMHf-1x7Y/edit?usp=sharing"",""แผน!BC27"")"),0)</f>
        <v>0</v>
      </c>
      <c r="M256" s="46"/>
      <c r="N256" s="264">
        <v>0</v>
      </c>
      <c r="O256" s="46"/>
      <c r="P256" s="46"/>
    </row>
    <row r="257" spans="1:16" ht="18.75" hidden="1" x14ac:dyDescent="0.25">
      <c r="A257" s="227"/>
      <c r="B257" s="228"/>
      <c r="C257" s="228"/>
      <c r="D257" s="254" t="s">
        <v>82</v>
      </c>
      <c r="E257" s="41"/>
      <c r="F257" s="41"/>
      <c r="G257" s="43"/>
      <c r="H257" s="146" t="s">
        <v>12</v>
      </c>
      <c r="I257" s="45"/>
      <c r="J257" s="45"/>
      <c r="K257" s="46"/>
      <c r="L257" s="50">
        <f ca="1">IFERROR(__xludf.DUMMYFUNCTION("IMPORTRANGE(""https://docs.google.com/spreadsheets/d/1eHaY18a8A9IcSdp1K8H6x8fbOy06t2VsZHhMHf-1x7Y/edit?usp=sharing"",""แผน!BD27"")"),0)</f>
        <v>0</v>
      </c>
      <c r="M257" s="46"/>
      <c r="N257" s="264">
        <v>0</v>
      </c>
      <c r="O257" s="46"/>
      <c r="P257" s="46"/>
    </row>
    <row r="258" spans="1:16" ht="18.75" hidden="1" x14ac:dyDescent="0.25">
      <c r="A258" s="227"/>
      <c r="B258" s="228"/>
      <c r="C258" s="228"/>
      <c r="D258" s="254" t="s">
        <v>83</v>
      </c>
      <c r="E258" s="41"/>
      <c r="F258" s="41"/>
      <c r="G258" s="43"/>
      <c r="H258" s="146" t="s">
        <v>12</v>
      </c>
      <c r="I258" s="45"/>
      <c r="J258" s="45"/>
      <c r="K258" s="46"/>
      <c r="L258" s="50">
        <f ca="1">IFERROR(__xludf.DUMMYFUNCTION("IMPORTRANGE(""https://docs.google.com/spreadsheets/d/1eHaY18a8A9IcSdp1K8H6x8fbOy06t2VsZHhMHf-1x7Y/edit?usp=sharing"",""แผน!BE27"")"),0)</f>
        <v>0</v>
      </c>
      <c r="M258" s="46"/>
      <c r="N258" s="264">
        <v>0</v>
      </c>
      <c r="O258" s="46"/>
      <c r="P258" s="46"/>
    </row>
    <row r="259" spans="1:16" ht="19.5" hidden="1" x14ac:dyDescent="0.3">
      <c r="A259" s="148"/>
      <c r="B259" s="149"/>
      <c r="C259" s="265" t="s">
        <v>16</v>
      </c>
      <c r="D259" s="394" t="s">
        <v>36</v>
      </c>
      <c r="E259" s="151"/>
      <c r="F259" s="151"/>
      <c r="G259" s="152"/>
      <c r="H259" s="153"/>
      <c r="I259" s="144"/>
      <c r="J259" s="45"/>
      <c r="K259" s="46"/>
      <c r="L259" s="46"/>
      <c r="M259" s="46"/>
      <c r="N259" s="46"/>
      <c r="O259" s="145"/>
      <c r="P259" s="145"/>
    </row>
    <row r="260" spans="1:16" ht="18.75" hidden="1" x14ac:dyDescent="0.25">
      <c r="A260" s="148"/>
      <c r="B260" s="149"/>
      <c r="C260" s="149"/>
      <c r="D260" s="267" t="s">
        <v>103</v>
      </c>
      <c r="E260" s="155"/>
      <c r="F260" s="155"/>
      <c r="G260" s="153"/>
      <c r="H260" s="268" t="s">
        <v>33</v>
      </c>
      <c r="I260" s="200">
        <f ca="1">IFERROR(__xludf.DUMMYFUNCTION("IMPORTRANGE(""https://docs.google.com/spreadsheets/d/1eHaY18a8A9IcSdp1K8H6x8fbOy06t2VsZHhMHf-1x7Y/edit?usp=sharing"",""แผน!BH27"")"),0)</f>
        <v>0</v>
      </c>
      <c r="J260" s="201">
        <v>0</v>
      </c>
      <c r="K260" s="50">
        <f ca="1">IF(I260&gt;0,J260*100/I260,0)</f>
        <v>0</v>
      </c>
      <c r="L260" s="46"/>
      <c r="M260" s="46"/>
      <c r="N260" s="46"/>
      <c r="O260" s="46"/>
      <c r="P260" s="46"/>
    </row>
    <row r="261" spans="1:16" ht="18.75" hidden="1" x14ac:dyDescent="0.25">
      <c r="A261" s="148"/>
      <c r="B261" s="149"/>
      <c r="C261" s="149"/>
      <c r="D261" s="269" t="s">
        <v>41</v>
      </c>
      <c r="E261" s="155"/>
      <c r="F261" s="155"/>
      <c r="G261" s="153"/>
      <c r="H261" s="153"/>
      <c r="I261" s="45"/>
      <c r="J261" s="45"/>
      <c r="K261" s="46"/>
      <c r="L261" s="46"/>
      <c r="M261" s="46"/>
      <c r="N261" s="46"/>
      <c r="O261" s="145"/>
      <c r="P261" s="145"/>
    </row>
    <row r="262" spans="1:16" ht="18.75" hidden="1" x14ac:dyDescent="0.25">
      <c r="A262" s="148"/>
      <c r="B262" s="149"/>
      <c r="C262" s="149"/>
      <c r="D262" s="149"/>
      <c r="E262" s="270" t="s">
        <v>104</v>
      </c>
      <c r="F262" s="155"/>
      <c r="G262" s="153"/>
      <c r="H262" s="268" t="s">
        <v>33</v>
      </c>
      <c r="I262" s="45"/>
      <c r="J262" s="201">
        <v>0</v>
      </c>
      <c r="K262" s="50">
        <f>IF(I262&gt;0,J262*100/I262,0)</f>
        <v>0</v>
      </c>
      <c r="L262" s="46"/>
      <c r="M262" s="46"/>
      <c r="N262" s="46"/>
      <c r="O262" s="46"/>
      <c r="P262" s="46"/>
    </row>
    <row r="263" spans="1:16" ht="18.75" hidden="1" x14ac:dyDescent="0.25">
      <c r="A263" s="148"/>
      <c r="B263" s="149"/>
      <c r="C263" s="149"/>
      <c r="D263" s="149"/>
      <c r="E263" s="270" t="s">
        <v>105</v>
      </c>
      <c r="F263" s="155"/>
      <c r="G263" s="153"/>
      <c r="H263" s="268" t="s">
        <v>54</v>
      </c>
      <c r="I263" s="45"/>
      <c r="J263" s="201">
        <v>0</v>
      </c>
      <c r="K263" s="50">
        <f>IF(I263&gt;0,J263*100/I263,0)</f>
        <v>0</v>
      </c>
      <c r="L263" s="46"/>
      <c r="M263" s="46"/>
      <c r="N263" s="46"/>
      <c r="O263" s="46"/>
      <c r="P263" s="46"/>
    </row>
    <row r="264" spans="1:16" ht="19.5" hidden="1" x14ac:dyDescent="0.3">
      <c r="A264" s="272" t="s">
        <v>108</v>
      </c>
      <c r="B264" s="215"/>
      <c r="C264" s="215"/>
      <c r="D264" s="216"/>
      <c r="E264" s="216"/>
      <c r="F264" s="216"/>
      <c r="G264" s="217"/>
      <c r="H264" s="217"/>
      <c r="I264" s="218"/>
      <c r="J264" s="218"/>
      <c r="K264" s="219"/>
      <c r="L264" s="219"/>
      <c r="M264" s="219"/>
      <c r="N264" s="219"/>
      <c r="O264" s="219"/>
      <c r="P264" s="219"/>
    </row>
    <row r="265" spans="1:16" ht="19.5" hidden="1" x14ac:dyDescent="0.3">
      <c r="A265" s="220"/>
      <c r="B265" s="273" t="s">
        <v>109</v>
      </c>
      <c r="C265" s="222"/>
      <c r="D265" s="151"/>
      <c r="E265" s="151"/>
      <c r="F265" s="151"/>
      <c r="G265" s="152"/>
      <c r="H265" s="274" t="s">
        <v>33</v>
      </c>
      <c r="I265" s="275">
        <f>I276</f>
        <v>0</v>
      </c>
      <c r="J265" s="275">
        <f>J276</f>
        <v>0</v>
      </c>
      <c r="K265" s="276">
        <f>IF(I265&gt;0,J265*100/I265,0)</f>
        <v>0</v>
      </c>
      <c r="L265" s="226"/>
      <c r="M265" s="226"/>
      <c r="N265" s="226"/>
      <c r="O265" s="226"/>
      <c r="P265" s="226"/>
    </row>
    <row r="266" spans="1:16" ht="19.5" hidden="1" x14ac:dyDescent="0.3">
      <c r="A266" s="136"/>
      <c r="B266" s="41"/>
      <c r="C266" s="260" t="s">
        <v>16</v>
      </c>
      <c r="D266" s="261" t="s">
        <v>17</v>
      </c>
      <c r="E266" s="41"/>
      <c r="F266" s="41"/>
      <c r="G266" s="43"/>
      <c r="H266" s="277" t="s">
        <v>12</v>
      </c>
      <c r="I266" s="45"/>
      <c r="J266" s="45"/>
      <c r="K266" s="46"/>
      <c r="L266" s="263">
        <f ca="1">L267+L268</f>
        <v>0</v>
      </c>
      <c r="M266" s="263">
        <f ca="1">M267+M268</f>
        <v>0</v>
      </c>
      <c r="N266" s="263">
        <f ca="1">N267+N268</f>
        <v>0</v>
      </c>
      <c r="O266" s="263">
        <f ca="1">IF(L266&gt;0,N266*100/L266,0)</f>
        <v>0</v>
      </c>
      <c r="P266" s="263">
        <f ca="1">IF(M266&gt;0,N266*100/M266,0)</f>
        <v>0</v>
      </c>
    </row>
    <row r="267" spans="1:16" ht="18.75" hidden="1" x14ac:dyDescent="0.25">
      <c r="A267" s="136"/>
      <c r="B267" s="41"/>
      <c r="C267" s="41"/>
      <c r="D267" s="41"/>
      <c r="E267" s="279" t="s">
        <v>18</v>
      </c>
      <c r="F267" s="41"/>
      <c r="G267" s="43"/>
      <c r="H267" s="141" t="s">
        <v>12</v>
      </c>
      <c r="I267" s="45"/>
      <c r="J267" s="45"/>
      <c r="K267" s="46"/>
      <c r="L267" s="50">
        <f>L270+L273</f>
        <v>0</v>
      </c>
      <c r="M267" s="50">
        <f>M270+M273</f>
        <v>0</v>
      </c>
      <c r="N267" s="50">
        <f>N270+N273</f>
        <v>0</v>
      </c>
      <c r="O267" s="50">
        <f>IF(L267&gt;0,N267*100/L267,0)</f>
        <v>0</v>
      </c>
      <c r="P267" s="50">
        <f>IF(M267&gt;0,N267*100/M267,0)</f>
        <v>0</v>
      </c>
    </row>
    <row r="268" spans="1:16" ht="18.75" hidden="1" x14ac:dyDescent="0.25">
      <c r="A268" s="136"/>
      <c r="B268" s="41"/>
      <c r="C268" s="41"/>
      <c r="D268" s="41"/>
      <c r="E268" s="279" t="s">
        <v>19</v>
      </c>
      <c r="F268" s="41"/>
      <c r="G268" s="43"/>
      <c r="H268" s="141" t="s">
        <v>12</v>
      </c>
      <c r="I268" s="45"/>
      <c r="J268" s="45"/>
      <c r="K268" s="46"/>
      <c r="L268" s="50">
        <f ca="1">L271+L274</f>
        <v>0</v>
      </c>
      <c r="M268" s="50">
        <f ca="1">M271+M274</f>
        <v>0</v>
      </c>
      <c r="N268" s="50">
        <f ca="1">N271+N274</f>
        <v>0</v>
      </c>
      <c r="O268" s="50">
        <f ca="1">IF(L268&gt;0,N268*100/L268,0)</f>
        <v>0</v>
      </c>
      <c r="P268" s="50">
        <f ca="1">IF(M268&gt;0,N268*100/M268,0)</f>
        <v>0</v>
      </c>
    </row>
    <row r="269" spans="1:16" ht="18.75" hidden="1" x14ac:dyDescent="0.25">
      <c r="A269" s="136"/>
      <c r="B269" s="41"/>
      <c r="C269" s="41"/>
      <c r="D269" s="278" t="s">
        <v>20</v>
      </c>
      <c r="E269" s="41"/>
      <c r="F269" s="41"/>
      <c r="G269" s="43"/>
      <c r="H269" s="146" t="s">
        <v>12</v>
      </c>
      <c r="I269" s="144"/>
      <c r="J269" s="144"/>
      <c r="K269" s="145"/>
      <c r="L269" s="50">
        <f ca="1">L270+L271</f>
        <v>0</v>
      </c>
      <c r="M269" s="50">
        <f ca="1">M270+M271</f>
        <v>0</v>
      </c>
      <c r="N269" s="50">
        <f ca="1">N270+N271</f>
        <v>0</v>
      </c>
      <c r="O269" s="50">
        <f ca="1">IF(L269&gt;0,N269*100/L269,0)</f>
        <v>0</v>
      </c>
      <c r="P269" s="50">
        <f ca="1">IF(M269&gt;0,N269*100/M269,0)</f>
        <v>0</v>
      </c>
    </row>
    <row r="270" spans="1:16" ht="18.75" hidden="1" x14ac:dyDescent="0.25">
      <c r="A270" s="136"/>
      <c r="B270" s="41"/>
      <c r="C270" s="41"/>
      <c r="D270" s="41"/>
      <c r="E270" s="279" t="s">
        <v>34</v>
      </c>
      <c r="F270" s="41"/>
      <c r="G270" s="43"/>
      <c r="H270" s="146" t="s">
        <v>12</v>
      </c>
      <c r="I270" s="144"/>
      <c r="J270" s="144"/>
      <c r="K270" s="145"/>
      <c r="L270" s="50">
        <v>0</v>
      </c>
      <c r="M270" s="50">
        <v>0</v>
      </c>
      <c r="N270" s="50">
        <v>0</v>
      </c>
      <c r="O270" s="50">
        <f>IF(L270&gt;0,N270*100/L270,0)</f>
        <v>0</v>
      </c>
      <c r="P270" s="50">
        <f>IF(M270&gt;0,N270*100/M270,0)</f>
        <v>0</v>
      </c>
    </row>
    <row r="271" spans="1:16" ht="18.75" hidden="1" x14ac:dyDescent="0.25">
      <c r="A271" s="136"/>
      <c r="B271" s="41"/>
      <c r="C271" s="41"/>
      <c r="D271" s="41"/>
      <c r="E271" s="279" t="s">
        <v>35</v>
      </c>
      <c r="F271" s="41"/>
      <c r="G271" s="43"/>
      <c r="H271" s="146" t="s">
        <v>12</v>
      </c>
      <c r="I271" s="144"/>
      <c r="J271" s="144"/>
      <c r="K271" s="145"/>
      <c r="L271" s="50">
        <f ca="1">IFERROR(__xludf.DUMMYFUNCTION("IMPORTRANGE(""https://docs.google.com/spreadsheets/d/1-uDff_7J0KD5mKrp0Vvzr7lt3OU09vwQwhkpOPPYv2Y/edit?usp=sharing"",""งบพรบ!DE27"")"),0)</f>
        <v>0</v>
      </c>
      <c r="M271" s="50">
        <f ca="1">IFERROR(__xludf.DUMMYFUNCTION("IMPORTRANGE(""https://docs.google.com/spreadsheets/d/1-uDff_7J0KD5mKrp0Vvzr7lt3OU09vwQwhkpOPPYv2Y/edit?usp=sharing"",""งบพรบ!DJ27"")"),0)</f>
        <v>0</v>
      </c>
      <c r="N271" s="50">
        <f ca="1">IFERROR(__xludf.DUMMYFUNCTION("IMPORTRANGE(""https://docs.google.com/spreadsheets/d/1-uDff_7J0KD5mKrp0Vvzr7lt3OU09vwQwhkpOPPYv2Y/edit?usp=sharing"",""งบพรบ!DL27"")"),0)</f>
        <v>0</v>
      </c>
      <c r="O271" s="50">
        <f ca="1">IF(L271&gt;0,N271*100/L271,0)</f>
        <v>0</v>
      </c>
      <c r="P271" s="50">
        <f ca="1">IF(M271&gt;0,N271*100/M271,0)</f>
        <v>0</v>
      </c>
    </row>
    <row r="272" spans="1:16" ht="18.75" hidden="1" x14ac:dyDescent="0.25">
      <c r="A272" s="136"/>
      <c r="B272" s="41"/>
      <c r="C272" s="41"/>
      <c r="D272" s="278" t="s">
        <v>21</v>
      </c>
      <c r="E272" s="41"/>
      <c r="F272" s="41"/>
      <c r="G272" s="43"/>
      <c r="H272" s="199" t="s">
        <v>12</v>
      </c>
      <c r="I272" s="144"/>
      <c r="J272" s="144"/>
      <c r="K272" s="145"/>
      <c r="L272" s="50">
        <f ca="1">L273+L274</f>
        <v>0</v>
      </c>
      <c r="M272" s="50">
        <f ca="1">M273+M274</f>
        <v>0</v>
      </c>
      <c r="N272" s="50">
        <f ca="1">N273+N274</f>
        <v>0</v>
      </c>
      <c r="O272" s="50">
        <f ca="1">IF(L272&gt;0,N272*100/L272,0)</f>
        <v>0</v>
      </c>
      <c r="P272" s="50">
        <f ca="1">IF(M272&gt;0,N272*100/M272,0)</f>
        <v>0</v>
      </c>
    </row>
    <row r="273" spans="1:16" ht="18.75" hidden="1" x14ac:dyDescent="0.25">
      <c r="A273" s="136"/>
      <c r="B273" s="41"/>
      <c r="C273" s="41"/>
      <c r="D273" s="41"/>
      <c r="E273" s="279" t="s">
        <v>18</v>
      </c>
      <c r="F273" s="41"/>
      <c r="G273" s="43"/>
      <c r="H273" s="146" t="s">
        <v>12</v>
      </c>
      <c r="I273" s="144"/>
      <c r="J273" s="144"/>
      <c r="K273" s="145"/>
      <c r="L273" s="50">
        <v>0</v>
      </c>
      <c r="M273" s="50">
        <v>0</v>
      </c>
      <c r="N273" s="50">
        <v>0</v>
      </c>
      <c r="O273" s="50">
        <f>IF(L273&gt;0,N273*100/L273,0)</f>
        <v>0</v>
      </c>
      <c r="P273" s="50">
        <f>IF(M273&gt;0,N273*100/M273,0)</f>
        <v>0</v>
      </c>
    </row>
    <row r="274" spans="1:16" ht="18.75" hidden="1" x14ac:dyDescent="0.25">
      <c r="A274" s="136"/>
      <c r="B274" s="41"/>
      <c r="C274" s="41"/>
      <c r="D274" s="41"/>
      <c r="E274" s="279" t="s">
        <v>19</v>
      </c>
      <c r="F274" s="41"/>
      <c r="G274" s="43"/>
      <c r="H274" s="199" t="s">
        <v>12</v>
      </c>
      <c r="I274" s="144"/>
      <c r="J274" s="144"/>
      <c r="K274" s="145"/>
      <c r="L274" s="50">
        <f ca="1">IFERROR(__xludf.DUMMYFUNCTION("IMPORTRANGE(""https://docs.google.com/spreadsheets/d/1-uDff_7J0KD5mKrp0Vvzr7lt3OU09vwQwhkpOPPYv2Y/edit?usp=sharing"",""งบพรบ!DH27"")"),0)</f>
        <v>0</v>
      </c>
      <c r="M274" s="50">
        <f ca="1">IFERROR(__xludf.DUMMYFUNCTION("IMPORTRANGE(""https://docs.google.com/spreadsheets/d/1-uDff_7J0KD5mKrp0Vvzr7lt3OU09vwQwhkpOPPYv2Y/edit?usp=sharing"",""งบพรบ!DK27"")"),0)</f>
        <v>0</v>
      </c>
      <c r="N274" s="50">
        <f ca="1">IFERROR(__xludf.DUMMYFUNCTION("IMPORTRANGE(""https://docs.google.com/spreadsheets/d/1-uDff_7J0KD5mKrp0Vvzr7lt3OU09vwQwhkpOPPYv2Y/edit?usp=sharing"",""งบพรบ!DM27"")"),0)</f>
        <v>0</v>
      </c>
      <c r="O274" s="50">
        <f ca="1">IF(L274&gt;0,N274*100/L274,0)</f>
        <v>0</v>
      </c>
      <c r="P274" s="50">
        <f ca="1">IF(M274&gt;0,N274*100/M274,0)</f>
        <v>0</v>
      </c>
    </row>
    <row r="275" spans="1:16" ht="19.5" hidden="1" x14ac:dyDescent="0.3">
      <c r="A275" s="148"/>
      <c r="B275" s="149"/>
      <c r="C275" s="279" t="s">
        <v>16</v>
      </c>
      <c r="D275" s="394" t="s">
        <v>36</v>
      </c>
      <c r="E275" s="151"/>
      <c r="F275" s="151"/>
      <c r="G275" s="152"/>
      <c r="H275" s="153"/>
      <c r="I275" s="144"/>
      <c r="J275" s="144"/>
      <c r="K275" s="145"/>
      <c r="L275" s="145"/>
      <c r="M275" s="145"/>
      <c r="N275" s="145"/>
      <c r="O275" s="145"/>
      <c r="P275" s="145"/>
    </row>
    <row r="276" spans="1:16" ht="12.75" hidden="1" x14ac:dyDescent="0.2">
      <c r="A276" s="165"/>
      <c r="B276" s="166"/>
      <c r="C276" s="166"/>
      <c r="D276" s="16"/>
      <c r="E276" s="16"/>
      <c r="F276" s="16"/>
      <c r="G276" s="17"/>
      <c r="H276" s="17"/>
      <c r="I276" s="18"/>
      <c r="J276" s="18"/>
      <c r="K276" s="19"/>
      <c r="L276" s="19"/>
      <c r="M276" s="19"/>
      <c r="N276" s="19"/>
      <c r="O276" s="19"/>
      <c r="P276" s="19"/>
    </row>
    <row r="277" spans="1:16" ht="18.75" hidden="1" x14ac:dyDescent="0.25">
      <c r="A277" s="280"/>
      <c r="B277" s="281"/>
      <c r="C277" s="281"/>
      <c r="D277" s="282" t="s">
        <v>110</v>
      </c>
      <c r="E277" s="283"/>
      <c r="F277" s="283"/>
      <c r="G277" s="284"/>
      <c r="H277" s="285" t="s">
        <v>33</v>
      </c>
      <c r="I277" s="205">
        <v>0</v>
      </c>
      <c r="J277" s="205">
        <v>0</v>
      </c>
      <c r="K277" s="286">
        <v>0</v>
      </c>
      <c r="L277" s="287"/>
      <c r="M277" s="287"/>
      <c r="N277" s="287"/>
      <c r="O277" s="287"/>
      <c r="P277" s="287"/>
    </row>
    <row r="278" spans="1:16" ht="19.5" x14ac:dyDescent="0.3">
      <c r="A278" s="288" t="s">
        <v>111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</row>
    <row r="279" spans="1:16" ht="19.5" x14ac:dyDescent="0.3">
      <c r="A279" s="294" t="s">
        <v>112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299"/>
      <c r="M279" s="299"/>
      <c r="N279" s="299"/>
      <c r="O279" s="299"/>
      <c r="P279" s="299"/>
    </row>
    <row r="280" spans="1:16" ht="19.5" x14ac:dyDescent="0.3">
      <c r="A280" s="300"/>
      <c r="B280" s="301" t="s">
        <v>113</v>
      </c>
      <c r="C280" s="302"/>
      <c r="D280" s="303"/>
      <c r="E280" s="302"/>
      <c r="F280" s="302"/>
      <c r="G280" s="304"/>
      <c r="H280" s="305" t="s">
        <v>33</v>
      </c>
      <c r="I280" s="306">
        <f ca="1">I293</f>
        <v>10</v>
      </c>
      <c r="J280" s="306">
        <f>J293</f>
        <v>0</v>
      </c>
      <c r="K280" s="307">
        <f ca="1">IF(I280&gt;0,J280*100/I280,0)</f>
        <v>0</v>
      </c>
      <c r="L280" s="308"/>
      <c r="M280" s="308"/>
      <c r="N280" s="308"/>
      <c r="O280" s="308"/>
      <c r="P280" s="308"/>
    </row>
    <row r="281" spans="1:16" ht="19.5" x14ac:dyDescent="0.3">
      <c r="A281" s="300"/>
      <c r="B281" s="302"/>
      <c r="C281" s="302"/>
      <c r="D281" s="303"/>
      <c r="E281" s="302"/>
      <c r="F281" s="302"/>
      <c r="G281" s="304"/>
      <c r="H281" s="305" t="s">
        <v>44</v>
      </c>
      <c r="I281" s="306">
        <f ca="1">I292</f>
        <v>100</v>
      </c>
      <c r="J281" s="306">
        <f>J292</f>
        <v>0</v>
      </c>
      <c r="K281" s="307">
        <f ca="1">IF(I281&gt;0,J281*100/I281,0)</f>
        <v>0</v>
      </c>
      <c r="L281" s="308"/>
      <c r="M281" s="308"/>
      <c r="N281" s="308"/>
      <c r="O281" s="308"/>
      <c r="P281" s="308"/>
    </row>
    <row r="282" spans="1:16" ht="19.5" x14ac:dyDescent="0.3">
      <c r="A282" s="136"/>
      <c r="B282" s="41"/>
      <c r="C282" s="197" t="s">
        <v>16</v>
      </c>
      <c r="D282" s="397" t="s">
        <v>17</v>
      </c>
      <c r="E282" s="41"/>
      <c r="F282" s="41"/>
      <c r="G282" s="43"/>
      <c r="H282" s="139" t="s">
        <v>12</v>
      </c>
      <c r="I282" s="45"/>
      <c r="J282" s="45"/>
      <c r="K282" s="46"/>
      <c r="L282" s="140">
        <f ca="1">L283+L284</f>
        <v>56120</v>
      </c>
      <c r="M282" s="140">
        <f ca="1">M283+M284</f>
        <v>44480</v>
      </c>
      <c r="N282" s="140">
        <f ca="1">N283+N284</f>
        <v>4940</v>
      </c>
      <c r="O282" s="140">
        <f ca="1">IF(L282&gt;0,N282*100/L282,0)</f>
        <v>8.8025659301496795</v>
      </c>
      <c r="P282" s="140">
        <f ca="1">IF(M282&gt;0,N282*100/M282,0)</f>
        <v>11.106115107913668</v>
      </c>
    </row>
    <row r="283" spans="1:16" ht="18.75" hidden="1" x14ac:dyDescent="0.25">
      <c r="A283" s="136"/>
      <c r="B283" s="41"/>
      <c r="C283" s="41"/>
      <c r="D283" s="41"/>
      <c r="E283" s="279" t="s">
        <v>18</v>
      </c>
      <c r="F283" s="41"/>
      <c r="G283" s="43"/>
      <c r="H283" s="141" t="s">
        <v>12</v>
      </c>
      <c r="I283" s="45"/>
      <c r="J283" s="45"/>
      <c r="K283" s="46"/>
      <c r="L283" s="50">
        <f>L286+L289</f>
        <v>0</v>
      </c>
      <c r="M283" s="50">
        <f>M286+M289</f>
        <v>0</v>
      </c>
      <c r="N283" s="50">
        <f>N286+N289</f>
        <v>0</v>
      </c>
      <c r="O283" s="50">
        <f>IF(L283&gt;0,N283*100/L283,0)</f>
        <v>0</v>
      </c>
      <c r="P283" s="50">
        <f>IF(M283&gt;0,N283*100/M283,0)</f>
        <v>0</v>
      </c>
    </row>
    <row r="284" spans="1:16" ht="18.75" x14ac:dyDescent="0.25">
      <c r="A284" s="136"/>
      <c r="B284" s="41"/>
      <c r="C284" s="41"/>
      <c r="D284" s="41"/>
      <c r="E284" s="254" t="s">
        <v>19</v>
      </c>
      <c r="F284" s="41"/>
      <c r="G284" s="43"/>
      <c r="H284" s="142" t="s">
        <v>12</v>
      </c>
      <c r="I284" s="45"/>
      <c r="J284" s="45"/>
      <c r="K284" s="46"/>
      <c r="L284" s="47">
        <f ca="1">L287+L290</f>
        <v>56120</v>
      </c>
      <c r="M284" s="47">
        <f ca="1">M287+M290</f>
        <v>44480</v>
      </c>
      <c r="N284" s="47">
        <f ca="1">N287+N290</f>
        <v>4940</v>
      </c>
      <c r="O284" s="47">
        <f ca="1">IF(L284&gt;0,N284*100/L284,0)</f>
        <v>8.8025659301496795</v>
      </c>
      <c r="P284" s="47">
        <f ca="1">IF(M284&gt;0,N284*100/M284,0)</f>
        <v>11.106115107913668</v>
      </c>
    </row>
    <row r="285" spans="1:16" ht="18.75" x14ac:dyDescent="0.25">
      <c r="A285" s="136"/>
      <c r="B285" s="41"/>
      <c r="C285" s="41"/>
      <c r="D285" s="42" t="s">
        <v>20</v>
      </c>
      <c r="E285" s="41"/>
      <c r="F285" s="41"/>
      <c r="G285" s="43"/>
      <c r="H285" s="143" t="s">
        <v>12</v>
      </c>
      <c r="I285" s="144"/>
      <c r="J285" s="144"/>
      <c r="K285" s="145"/>
      <c r="L285" s="47">
        <f ca="1">L286+L287</f>
        <v>56120</v>
      </c>
      <c r="M285" s="47">
        <f ca="1">M286+M287</f>
        <v>44480</v>
      </c>
      <c r="N285" s="47">
        <f ca="1">N286+N287</f>
        <v>4940</v>
      </c>
      <c r="O285" s="47">
        <f ca="1">IF(L285&gt;0,N285*100/L285,0)</f>
        <v>8.8025659301496795</v>
      </c>
      <c r="P285" s="47">
        <f ca="1">IF(M285&gt;0,N285*100/M285,0)</f>
        <v>11.106115107913668</v>
      </c>
    </row>
    <row r="286" spans="1:16" ht="18.75" hidden="1" x14ac:dyDescent="0.25">
      <c r="A286" s="136"/>
      <c r="B286" s="41"/>
      <c r="C286" s="41"/>
      <c r="D286" s="41"/>
      <c r="E286" s="279" t="s">
        <v>34</v>
      </c>
      <c r="F286" s="41"/>
      <c r="G286" s="43"/>
      <c r="H286" s="146" t="s">
        <v>12</v>
      </c>
      <c r="I286" s="144"/>
      <c r="J286" s="144"/>
      <c r="K286" s="145"/>
      <c r="L286" s="50">
        <v>0</v>
      </c>
      <c r="M286" s="50">
        <v>0</v>
      </c>
      <c r="N286" s="50">
        <v>0</v>
      </c>
      <c r="O286" s="50">
        <f>IF(L286&gt;0,N286*100/L286,0)</f>
        <v>0</v>
      </c>
      <c r="P286" s="50">
        <f>IF(M286&gt;0,N286*100/M286,0)</f>
        <v>0</v>
      </c>
    </row>
    <row r="287" spans="1:16" ht="18.75" x14ac:dyDescent="0.25">
      <c r="A287" s="136"/>
      <c r="B287" s="41"/>
      <c r="C287" s="41"/>
      <c r="D287" s="41"/>
      <c r="E287" s="254" t="s">
        <v>35</v>
      </c>
      <c r="F287" s="41"/>
      <c r="G287" s="43"/>
      <c r="H287" s="143" t="s">
        <v>12</v>
      </c>
      <c r="I287" s="144"/>
      <c r="J287" s="144"/>
      <c r="K287" s="145"/>
      <c r="L287" s="47">
        <f ca="1">IFERROR(__xludf.DUMMYFUNCTION("IMPORTRANGE(""https://docs.google.com/spreadsheets/d/1-uDff_7J0KD5mKrp0Vvzr7lt3OU09vwQwhkpOPPYv2Y/edit?usp=sharing"",""งบพรบ!DO27"")"),56120)</f>
        <v>56120</v>
      </c>
      <c r="M287" s="47">
        <f ca="1">IFERROR(__xludf.DUMMYFUNCTION("IMPORTRANGE(""https://docs.google.com/spreadsheets/d/1-uDff_7J0KD5mKrp0Vvzr7lt3OU09vwQwhkpOPPYv2Y/edit?usp=sharing"",""งบพรบ!DT27"")"),44480)</f>
        <v>44480</v>
      </c>
      <c r="N287" s="47">
        <f ca="1">IFERROR(__xludf.DUMMYFUNCTION("IMPORTRANGE(""https://docs.google.com/spreadsheets/d/1-uDff_7J0KD5mKrp0Vvzr7lt3OU09vwQwhkpOPPYv2Y/edit?usp=sharing"",""งบพรบ!DV27"")"),4940)</f>
        <v>4940</v>
      </c>
      <c r="O287" s="47">
        <f ca="1">IF(L287&gt;0,N287*100/L287,0)</f>
        <v>8.8025659301496795</v>
      </c>
      <c r="P287" s="47">
        <f ca="1">IF(M287&gt;0,N287*100/M287,0)</f>
        <v>11.106115107913668</v>
      </c>
    </row>
    <row r="288" spans="1:16" ht="18.75" x14ac:dyDescent="0.25">
      <c r="A288" s="136"/>
      <c r="B288" s="41"/>
      <c r="C288" s="41"/>
      <c r="D288" s="42" t="s">
        <v>21</v>
      </c>
      <c r="E288" s="41"/>
      <c r="F288" s="41"/>
      <c r="G288" s="43"/>
      <c r="H288" s="147" t="s">
        <v>12</v>
      </c>
      <c r="I288" s="144"/>
      <c r="J288" s="144"/>
      <c r="K288" s="145"/>
      <c r="L288" s="47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</row>
    <row r="289" spans="1:16" ht="18.75" hidden="1" x14ac:dyDescent="0.25">
      <c r="A289" s="136"/>
      <c r="B289" s="41"/>
      <c r="C289" s="41"/>
      <c r="D289" s="41"/>
      <c r="E289" s="279" t="s">
        <v>18</v>
      </c>
      <c r="F289" s="41"/>
      <c r="G289" s="43"/>
      <c r="H289" s="146" t="s">
        <v>12</v>
      </c>
      <c r="I289" s="144"/>
      <c r="J289" s="144"/>
      <c r="K289" s="145"/>
      <c r="L289" s="50">
        <v>0</v>
      </c>
      <c r="M289" s="50">
        <v>0</v>
      </c>
      <c r="N289" s="50">
        <v>0</v>
      </c>
      <c r="O289" s="50">
        <f>IF(L289&gt;0,N289*100/L289,0)</f>
        <v>0</v>
      </c>
      <c r="P289" s="50">
        <f>IF(M289&gt;0,N289*100/M289,0)</f>
        <v>0</v>
      </c>
    </row>
    <row r="290" spans="1:16" ht="18.75" x14ac:dyDescent="0.25">
      <c r="A290" s="136"/>
      <c r="B290" s="41"/>
      <c r="C290" s="41"/>
      <c r="D290" s="41"/>
      <c r="E290" s="254" t="s">
        <v>19</v>
      </c>
      <c r="F290" s="41"/>
      <c r="G290" s="43"/>
      <c r="H290" s="147" t="s">
        <v>12</v>
      </c>
      <c r="I290" s="144"/>
      <c r="J290" s="144"/>
      <c r="K290" s="145"/>
      <c r="L290" s="47">
        <f ca="1">IFERROR(__xludf.DUMMYFUNCTION("IMPORTRANGE(""https://docs.google.com/spreadsheets/d/1-uDff_7J0KD5mKrp0Vvzr7lt3OU09vwQwhkpOPPYv2Y/edit?usp=sharing"",""งบพรบ!DR27"")"),0)</f>
        <v>0</v>
      </c>
      <c r="M290" s="47">
        <f ca="1">IFERROR(__xludf.DUMMYFUNCTION("IMPORTRANGE(""https://docs.google.com/spreadsheets/d/1-uDff_7J0KD5mKrp0Vvzr7lt3OU09vwQwhkpOPPYv2Y/edit?usp=sharing"",""งบพรบ!DU27"")"),0)</f>
        <v>0</v>
      </c>
      <c r="N290" s="47">
        <f ca="1">IFERROR(__xludf.DUMMYFUNCTION("IMPORTRANGE(""https://docs.google.com/spreadsheets/d/1-uDff_7J0KD5mKrp0Vvzr7lt3OU09vwQwhkpOPPYv2Y/edit?usp=sharing"",""งบพรบ!DW27"")"),0)</f>
        <v>0</v>
      </c>
      <c r="O290" s="47">
        <f ca="1">IF(L290&gt;0,N290*100/L290,0)</f>
        <v>0</v>
      </c>
      <c r="P290" s="47">
        <f ca="1">IF(M290&gt;0,N290*100/M290,0)</f>
        <v>0</v>
      </c>
    </row>
    <row r="291" spans="1:16" ht="19.5" x14ac:dyDescent="0.3">
      <c r="A291" s="148"/>
      <c r="B291" s="149"/>
      <c r="C291" s="197" t="s">
        <v>16</v>
      </c>
      <c r="D291" s="395" t="s">
        <v>36</v>
      </c>
      <c r="E291" s="151"/>
      <c r="F291" s="151"/>
      <c r="G291" s="152"/>
      <c r="H291" s="153"/>
      <c r="I291" s="144"/>
      <c r="J291" s="144"/>
      <c r="K291" s="145"/>
      <c r="L291" s="145"/>
      <c r="M291" s="145"/>
      <c r="N291" s="145"/>
      <c r="O291" s="145"/>
      <c r="P291" s="145"/>
    </row>
    <row r="292" spans="1:16" ht="18.75" x14ac:dyDescent="0.25">
      <c r="A292" s="148"/>
      <c r="B292" s="149"/>
      <c r="C292" s="149"/>
      <c r="D292" s="159" t="s">
        <v>114</v>
      </c>
      <c r="E292" s="149"/>
      <c r="F292" s="155"/>
      <c r="G292" s="153"/>
      <c r="H292" s="164" t="s">
        <v>44</v>
      </c>
      <c r="I292" s="169">
        <f ca="1">IFERROR(__xludf.DUMMYFUNCTION("IMPORTRANGE(""https://docs.google.com/spreadsheets/d/1eHaY18a8A9IcSdp1K8H6x8fbOy06t2VsZHhMHf-1x7Y/edit?usp=sharing"",""แผน!EE27"")"),100)</f>
        <v>100</v>
      </c>
      <c r="J292" s="250">
        <v>0</v>
      </c>
      <c r="K292" s="163">
        <f ca="1">IF(I292&gt;0,J292*100/I292,0)</f>
        <v>0</v>
      </c>
      <c r="L292" s="145"/>
      <c r="M292" s="145"/>
      <c r="N292" s="145"/>
      <c r="O292" s="145"/>
      <c r="P292" s="145"/>
    </row>
    <row r="293" spans="1:16" ht="19.5" x14ac:dyDescent="0.3">
      <c r="A293" s="148"/>
      <c r="B293" s="149"/>
      <c r="C293" s="149"/>
      <c r="D293" s="159" t="s">
        <v>115</v>
      </c>
      <c r="E293" s="149"/>
      <c r="F293" s="155"/>
      <c r="G293" s="153"/>
      <c r="H293" s="156" t="s">
        <v>33</v>
      </c>
      <c r="I293" s="157">
        <f ca="1">IFERROR(__xludf.DUMMYFUNCTION("IMPORTRANGE(""https://docs.google.com/spreadsheets/d/1eHaY18a8A9IcSdp1K8H6x8fbOy06t2VsZHhMHf-1x7Y/edit?usp=sharing"",""แผน!ED27"")"),10)</f>
        <v>10</v>
      </c>
      <c r="J293" s="157">
        <f>J296</f>
        <v>0</v>
      </c>
      <c r="K293" s="158">
        <f ca="1">IF(I293&gt;0,J293*100/I293,0)</f>
        <v>0</v>
      </c>
      <c r="L293" s="145"/>
      <c r="M293" s="145"/>
      <c r="N293" s="145"/>
      <c r="O293" s="145"/>
      <c r="P293" s="145"/>
    </row>
    <row r="294" spans="1:16" ht="19.5" x14ac:dyDescent="0.3">
      <c r="A294" s="148"/>
      <c r="B294" s="149"/>
      <c r="C294" s="149"/>
      <c r="D294" s="155"/>
      <c r="E294" s="167" t="s">
        <v>116</v>
      </c>
      <c r="F294" s="155"/>
      <c r="G294" s="153"/>
      <c r="H294" s="153"/>
      <c r="I294" s="144"/>
      <c r="J294" s="45"/>
      <c r="K294" s="145"/>
      <c r="L294" s="145"/>
      <c r="M294" s="145"/>
      <c r="N294" s="145"/>
      <c r="O294" s="145"/>
      <c r="P294" s="145"/>
    </row>
    <row r="295" spans="1:16" ht="19.5" x14ac:dyDescent="0.3">
      <c r="A295" s="148"/>
      <c r="B295" s="149"/>
      <c r="C295" s="149"/>
      <c r="D295" s="155"/>
      <c r="E295" s="159" t="s">
        <v>117</v>
      </c>
      <c r="F295" s="155"/>
      <c r="G295" s="153"/>
      <c r="H295" s="251" t="s">
        <v>33</v>
      </c>
      <c r="I295" s="161">
        <f ca="1">IFERROR(__xludf.DUMMYFUNCTION("IMPORTRANGE(""https://docs.google.com/spreadsheets/d/1eHaY18a8A9IcSdp1K8H6x8fbOy06t2VsZHhMHf-1x7Y/edit?usp=sharing"",""แผน!ED27"")"),10)</f>
        <v>10</v>
      </c>
      <c r="J295" s="250">
        <v>0</v>
      </c>
      <c r="K295" s="163">
        <f ca="1">IF(I295&gt;0,J295*100/I295,0)</f>
        <v>0</v>
      </c>
      <c r="L295" s="145"/>
      <c r="M295" s="145"/>
      <c r="N295" s="145"/>
      <c r="O295" s="145"/>
      <c r="P295" s="145"/>
    </row>
    <row r="296" spans="1:16" ht="19.5" x14ac:dyDescent="0.3">
      <c r="A296" s="148"/>
      <c r="B296" s="149"/>
      <c r="C296" s="149"/>
      <c r="D296" s="155"/>
      <c r="E296" s="159" t="s">
        <v>118</v>
      </c>
      <c r="F296" s="155"/>
      <c r="G296" s="153"/>
      <c r="H296" s="251" t="s">
        <v>33</v>
      </c>
      <c r="I296" s="161">
        <f ca="1">IFERROR(__xludf.DUMMYFUNCTION("IMPORTRANGE(""https://docs.google.com/spreadsheets/d/1eHaY18a8A9IcSdp1K8H6x8fbOy06t2VsZHhMHf-1x7Y/edit?usp=sharing"",""แผน!ED27"")"),10)</f>
        <v>10</v>
      </c>
      <c r="J296" s="250">
        <v>0</v>
      </c>
      <c r="K296" s="163">
        <f ca="1">IF(I296&gt;0,J296*100/I296,0)</f>
        <v>0</v>
      </c>
      <c r="L296" s="145"/>
      <c r="M296" s="145"/>
      <c r="N296" s="145"/>
      <c r="O296" s="145"/>
      <c r="P296" s="145"/>
    </row>
    <row r="297" spans="1:16" ht="12.75" hidden="1" x14ac:dyDescent="0.2">
      <c r="A297" s="165"/>
      <c r="B297" s="166"/>
      <c r="C297" s="166"/>
      <c r="D297" s="16"/>
      <c r="E297" s="16"/>
      <c r="F297" s="16"/>
      <c r="G297" s="17"/>
      <c r="H297" s="17"/>
      <c r="I297" s="18"/>
      <c r="J297" s="18"/>
      <c r="K297" s="19"/>
      <c r="L297" s="19"/>
      <c r="M297" s="19"/>
      <c r="N297" s="19"/>
      <c r="O297" s="19"/>
      <c r="P297" s="19"/>
    </row>
    <row r="298" spans="1:16" ht="12.75" hidden="1" x14ac:dyDescent="0.2">
      <c r="A298" s="165"/>
      <c r="B298" s="166"/>
      <c r="C298" s="166"/>
      <c r="D298" s="16"/>
      <c r="E298" s="16"/>
      <c r="F298" s="16"/>
      <c r="G298" s="17"/>
      <c r="H298" s="17"/>
      <c r="I298" s="18"/>
      <c r="J298" s="18"/>
      <c r="K298" s="19"/>
      <c r="L298" s="19"/>
      <c r="M298" s="19"/>
      <c r="N298" s="19"/>
      <c r="O298" s="19"/>
      <c r="P298" s="19"/>
    </row>
    <row r="299" spans="1:16" ht="12.75" hidden="1" x14ac:dyDescent="0.2">
      <c r="A299" s="309"/>
      <c r="B299" s="310"/>
      <c r="C299" s="310"/>
      <c r="D299" s="21"/>
      <c r="E299" s="21"/>
      <c r="F299" s="21"/>
      <c r="G299" s="12"/>
      <c r="H299" s="12"/>
      <c r="I299" s="13"/>
      <c r="J299" s="13"/>
      <c r="K299" s="14"/>
      <c r="L299" s="14"/>
      <c r="M299" s="14"/>
      <c r="N299" s="14"/>
      <c r="O299" s="14"/>
      <c r="P299" s="14"/>
    </row>
    <row r="300" spans="1:16" ht="19.5" hidden="1" x14ac:dyDescent="0.3">
      <c r="A300" s="311" t="s">
        <v>119</v>
      </c>
      <c r="B300" s="312"/>
      <c r="C300" s="312"/>
      <c r="D300" s="312"/>
      <c r="E300" s="313"/>
      <c r="F300" s="313"/>
      <c r="G300" s="313"/>
      <c r="H300" s="313"/>
      <c r="I300" s="314"/>
      <c r="J300" s="314"/>
      <c r="K300" s="315"/>
      <c r="L300" s="315"/>
      <c r="M300" s="315"/>
      <c r="N300" s="315"/>
      <c r="O300" s="315"/>
      <c r="P300" s="316"/>
    </row>
    <row r="301" spans="1:16" ht="19.5" hidden="1" x14ac:dyDescent="0.3">
      <c r="A301" s="317" t="s">
        <v>120</v>
      </c>
      <c r="B301" s="318"/>
      <c r="C301" s="318"/>
      <c r="D301" s="319"/>
      <c r="E301" s="319"/>
      <c r="F301" s="319"/>
      <c r="G301" s="320"/>
      <c r="H301" s="320"/>
      <c r="I301" s="321"/>
      <c r="J301" s="321"/>
      <c r="K301" s="322"/>
      <c r="L301" s="322"/>
      <c r="M301" s="322"/>
      <c r="N301" s="322"/>
      <c r="O301" s="322"/>
      <c r="P301" s="322"/>
    </row>
    <row r="302" spans="1:16" ht="19.5" hidden="1" x14ac:dyDescent="0.3">
      <c r="A302" s="323"/>
      <c r="B302" s="324" t="s">
        <v>121</v>
      </c>
      <c r="C302" s="325"/>
      <c r="D302" s="325"/>
      <c r="E302" s="325"/>
      <c r="F302" s="325"/>
      <c r="G302" s="326"/>
      <c r="H302" s="327" t="s">
        <v>33</v>
      </c>
      <c r="I302" s="328">
        <f ca="1">I314</f>
        <v>0</v>
      </c>
      <c r="J302" s="328">
        <f>J314</f>
        <v>0</v>
      </c>
      <c r="K302" s="329">
        <f ca="1">IF(I302&gt;0,J302*100/I302,0)</f>
        <v>0</v>
      </c>
      <c r="L302" s="330"/>
      <c r="M302" s="330"/>
      <c r="N302" s="330"/>
      <c r="O302" s="330"/>
      <c r="P302" s="330"/>
    </row>
    <row r="303" spans="1:16" ht="19.5" hidden="1" x14ac:dyDescent="0.3">
      <c r="A303" s="136"/>
      <c r="B303" s="41"/>
      <c r="C303" s="197" t="s">
        <v>16</v>
      </c>
      <c r="D303" s="397" t="s">
        <v>17</v>
      </c>
      <c r="E303" s="41"/>
      <c r="F303" s="41"/>
      <c r="G303" s="43"/>
      <c r="H303" s="139" t="s">
        <v>12</v>
      </c>
      <c r="I303" s="45"/>
      <c r="J303" s="45"/>
      <c r="K303" s="46"/>
      <c r="L303" s="140">
        <f ca="1">L304+L305</f>
        <v>0</v>
      </c>
      <c r="M303" s="140">
        <f ca="1">M304+M305</f>
        <v>0</v>
      </c>
      <c r="N303" s="140">
        <f ca="1">N304+N305</f>
        <v>0</v>
      </c>
      <c r="O303" s="140">
        <f ca="1">IF(L303&gt;0,N303*100/L303,0)</f>
        <v>0</v>
      </c>
      <c r="P303" s="140">
        <f ca="1">IF(M303&gt;0,N303*100/M303,0)</f>
        <v>0</v>
      </c>
    </row>
    <row r="304" spans="1:16" ht="18.75" hidden="1" x14ac:dyDescent="0.25">
      <c r="A304" s="136"/>
      <c r="B304" s="41"/>
      <c r="C304" s="41"/>
      <c r="D304" s="41"/>
      <c r="E304" s="279" t="s">
        <v>18</v>
      </c>
      <c r="F304" s="41"/>
      <c r="G304" s="43"/>
      <c r="H304" s="141" t="s">
        <v>12</v>
      </c>
      <c r="I304" s="45"/>
      <c r="J304" s="45"/>
      <c r="K304" s="46"/>
      <c r="L304" s="50">
        <f>L307+L310</f>
        <v>0</v>
      </c>
      <c r="M304" s="50">
        <f>M307+M310</f>
        <v>0</v>
      </c>
      <c r="N304" s="50">
        <f>N307+N310</f>
        <v>0</v>
      </c>
      <c r="O304" s="50">
        <f>IF(L304&gt;0,N304*100/L304,0)</f>
        <v>0</v>
      </c>
      <c r="P304" s="50">
        <f>IF(M304&gt;0,N304*100/M304,0)</f>
        <v>0</v>
      </c>
    </row>
    <row r="305" spans="1:16" ht="18.75" hidden="1" x14ac:dyDescent="0.25">
      <c r="A305" s="136"/>
      <c r="B305" s="41"/>
      <c r="C305" s="41"/>
      <c r="D305" s="41"/>
      <c r="E305" s="254" t="s">
        <v>19</v>
      </c>
      <c r="F305" s="41"/>
      <c r="G305" s="43"/>
      <c r="H305" s="142" t="s">
        <v>12</v>
      </c>
      <c r="I305" s="45"/>
      <c r="J305" s="45"/>
      <c r="K305" s="46"/>
      <c r="L305" s="47">
        <f ca="1">L308+L311</f>
        <v>0</v>
      </c>
      <c r="M305" s="47">
        <f ca="1">M308+M311</f>
        <v>0</v>
      </c>
      <c r="N305" s="47">
        <f ca="1">N308+N311</f>
        <v>0</v>
      </c>
      <c r="O305" s="47">
        <f ca="1">IF(L305&gt;0,N305*100/L305,0)</f>
        <v>0</v>
      </c>
      <c r="P305" s="47">
        <f ca="1">IF(M305&gt;0,N305*100/M305,0)</f>
        <v>0</v>
      </c>
    </row>
    <row r="306" spans="1:16" ht="18.75" hidden="1" x14ac:dyDescent="0.25">
      <c r="A306" s="136"/>
      <c r="B306" s="41"/>
      <c r="C306" s="41"/>
      <c r="D306" s="42" t="s">
        <v>20</v>
      </c>
      <c r="E306" s="41"/>
      <c r="F306" s="41"/>
      <c r="G306" s="43"/>
      <c r="H306" s="143" t="s">
        <v>12</v>
      </c>
      <c r="I306" s="144"/>
      <c r="J306" s="144"/>
      <c r="K306" s="145"/>
      <c r="L306" s="47">
        <f ca="1">L307+L308</f>
        <v>0</v>
      </c>
      <c r="M306" s="47">
        <f ca="1">M307+M308</f>
        <v>0</v>
      </c>
      <c r="N306" s="47">
        <f ca="1">N307+N308</f>
        <v>0</v>
      </c>
      <c r="O306" s="47">
        <f ca="1">IF(L306&gt;0,N306*100/L306,0)</f>
        <v>0</v>
      </c>
      <c r="P306" s="47">
        <f ca="1">IF(M306&gt;0,N306*100/M306,0)</f>
        <v>0</v>
      </c>
    </row>
    <row r="307" spans="1:16" ht="18.75" hidden="1" x14ac:dyDescent="0.25">
      <c r="A307" s="136"/>
      <c r="B307" s="41"/>
      <c r="C307" s="41"/>
      <c r="D307" s="41"/>
      <c r="E307" s="279" t="s">
        <v>34</v>
      </c>
      <c r="F307" s="41"/>
      <c r="G307" s="43"/>
      <c r="H307" s="146" t="s">
        <v>12</v>
      </c>
      <c r="I307" s="144"/>
      <c r="J307" s="144"/>
      <c r="K307" s="145"/>
      <c r="L307" s="50">
        <v>0</v>
      </c>
      <c r="M307" s="50">
        <v>0</v>
      </c>
      <c r="N307" s="50">
        <v>0</v>
      </c>
      <c r="O307" s="50">
        <f>IF(L307&gt;0,N307*100/L307,0)</f>
        <v>0</v>
      </c>
      <c r="P307" s="50">
        <f>IF(M307&gt;0,N307*100/M307,0)</f>
        <v>0</v>
      </c>
    </row>
    <row r="308" spans="1:16" ht="18.75" hidden="1" x14ac:dyDescent="0.25">
      <c r="A308" s="136"/>
      <c r="B308" s="41"/>
      <c r="C308" s="41"/>
      <c r="D308" s="41"/>
      <c r="E308" s="254" t="s">
        <v>35</v>
      </c>
      <c r="F308" s="41"/>
      <c r="G308" s="43"/>
      <c r="H308" s="143" t="s">
        <v>12</v>
      </c>
      <c r="I308" s="144"/>
      <c r="J308" s="144"/>
      <c r="K308" s="145"/>
      <c r="L308" s="47">
        <f ca="1">IFERROR(__xludf.DUMMYFUNCTION("IMPORTRANGE(""https://docs.google.com/spreadsheets/d/1-uDff_7J0KD5mKrp0Vvzr7lt3OU09vwQwhkpOPPYv2Y/edit?usp=sharing"",""งบพรบ!DY27"")"),0)</f>
        <v>0</v>
      </c>
      <c r="M308" s="47">
        <f ca="1">IFERROR(__xludf.DUMMYFUNCTION("IMPORTRANGE(""https://docs.google.com/spreadsheets/d/1-uDff_7J0KD5mKrp0Vvzr7lt3OU09vwQwhkpOPPYv2Y/edit?usp=sharing"",""งบพรบ!ED27"")"),0)</f>
        <v>0</v>
      </c>
      <c r="N308" s="47">
        <f ca="1">IFERROR(__xludf.DUMMYFUNCTION("IMPORTRANGE(""https://docs.google.com/spreadsheets/d/1-uDff_7J0KD5mKrp0Vvzr7lt3OU09vwQwhkpOPPYv2Y/edit?usp=sharing"",""งบพรบ!EF27"")"),0)</f>
        <v>0</v>
      </c>
      <c r="O308" s="47">
        <f ca="1">IF(L308&gt;0,N308*100/L308,0)</f>
        <v>0</v>
      </c>
      <c r="P308" s="47">
        <f ca="1">IF(M308&gt;0,N308*100/M308,0)</f>
        <v>0</v>
      </c>
    </row>
    <row r="309" spans="1:16" ht="18.75" hidden="1" x14ac:dyDescent="0.25">
      <c r="A309" s="136"/>
      <c r="B309" s="41"/>
      <c r="C309" s="41"/>
      <c r="D309" s="42" t="s">
        <v>21</v>
      </c>
      <c r="E309" s="41"/>
      <c r="F309" s="41"/>
      <c r="G309" s="43"/>
      <c r="H309" s="147" t="s">
        <v>12</v>
      </c>
      <c r="I309" s="144"/>
      <c r="J309" s="144"/>
      <c r="K309" s="145"/>
      <c r="L309" s="47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</row>
    <row r="310" spans="1:16" ht="18.75" hidden="1" x14ac:dyDescent="0.25">
      <c r="A310" s="136"/>
      <c r="B310" s="41"/>
      <c r="C310" s="41"/>
      <c r="D310" s="41"/>
      <c r="E310" s="279" t="s">
        <v>18</v>
      </c>
      <c r="F310" s="41"/>
      <c r="G310" s="43"/>
      <c r="H310" s="146" t="s">
        <v>12</v>
      </c>
      <c r="I310" s="144"/>
      <c r="J310" s="144"/>
      <c r="K310" s="145"/>
      <c r="L310" s="50">
        <v>0</v>
      </c>
      <c r="M310" s="50">
        <v>0</v>
      </c>
      <c r="N310" s="50">
        <v>0</v>
      </c>
      <c r="O310" s="50">
        <f>IF(L310&gt;0,N310*100/L310,0)</f>
        <v>0</v>
      </c>
      <c r="P310" s="50">
        <f>IF(M310&gt;0,N310*100/M310,0)</f>
        <v>0</v>
      </c>
    </row>
    <row r="311" spans="1:16" ht="18.75" hidden="1" x14ac:dyDescent="0.25">
      <c r="A311" s="136"/>
      <c r="B311" s="41"/>
      <c r="C311" s="41"/>
      <c r="D311" s="41"/>
      <c r="E311" s="254" t="s">
        <v>19</v>
      </c>
      <c r="F311" s="41"/>
      <c r="G311" s="43"/>
      <c r="H311" s="147" t="s">
        <v>12</v>
      </c>
      <c r="I311" s="144"/>
      <c r="J311" s="144"/>
      <c r="K311" s="145"/>
      <c r="L311" s="47">
        <f ca="1">IFERROR(__xludf.DUMMYFUNCTION("IMPORTRANGE(""https://docs.google.com/spreadsheets/d/1-uDff_7J0KD5mKrp0Vvzr7lt3OU09vwQwhkpOPPYv2Y/edit?usp=sharing"",""งบพรบ!EB27"")"),0)</f>
        <v>0</v>
      </c>
      <c r="M311" s="47">
        <f ca="1">IFERROR(__xludf.DUMMYFUNCTION("IMPORTRANGE(""https://docs.google.com/spreadsheets/d/1-uDff_7J0KD5mKrp0Vvzr7lt3OU09vwQwhkpOPPYv2Y/edit?usp=sharing"",""งบพรบ!EE27"")"),0)</f>
        <v>0</v>
      </c>
      <c r="N311" s="47">
        <f ca="1">IFERROR(__xludf.DUMMYFUNCTION("IMPORTRANGE(""https://docs.google.com/spreadsheets/d/1-uDff_7J0KD5mKrp0Vvzr7lt3OU09vwQwhkpOPPYv2Y/edit?usp=sharing"",""งบพรบ!EG27"")"),0)</f>
        <v>0</v>
      </c>
      <c r="O311" s="47">
        <f ca="1">IF(L311&gt;0,N311*100/L311,0)</f>
        <v>0</v>
      </c>
      <c r="P311" s="47">
        <f ca="1">IF(M311&gt;0,N311*100/M311,0)</f>
        <v>0</v>
      </c>
    </row>
    <row r="312" spans="1:16" ht="19.5" hidden="1" x14ac:dyDescent="0.3">
      <c r="A312" s="148"/>
      <c r="B312" s="149"/>
      <c r="C312" s="197" t="s">
        <v>16</v>
      </c>
      <c r="D312" s="395" t="s">
        <v>36</v>
      </c>
      <c r="E312" s="151"/>
      <c r="F312" s="151"/>
      <c r="G312" s="152"/>
      <c r="H312" s="153"/>
      <c r="I312" s="45"/>
      <c r="J312" s="45"/>
      <c r="K312" s="46"/>
      <c r="L312" s="46"/>
      <c r="M312" s="46"/>
      <c r="N312" s="46"/>
      <c r="O312" s="46"/>
      <c r="P312" s="46"/>
    </row>
    <row r="313" spans="1:16" ht="18.75" hidden="1" x14ac:dyDescent="0.25">
      <c r="A313" s="148"/>
      <c r="B313" s="149"/>
      <c r="C313" s="149"/>
      <c r="D313" s="159" t="s">
        <v>122</v>
      </c>
      <c r="E313" s="155"/>
      <c r="F313" s="155"/>
      <c r="G313" s="153"/>
      <c r="H313" s="153"/>
      <c r="I313" s="45"/>
      <c r="J313" s="250">
        <v>0</v>
      </c>
      <c r="K313" s="46"/>
      <c r="L313" s="46"/>
      <c r="M313" s="46"/>
      <c r="N313" s="46"/>
      <c r="O313" s="46"/>
      <c r="P313" s="46"/>
    </row>
    <row r="314" spans="1:16" ht="18.75" hidden="1" x14ac:dyDescent="0.25">
      <c r="A314" s="148"/>
      <c r="B314" s="149"/>
      <c r="C314" s="149"/>
      <c r="D314" s="159" t="s">
        <v>115</v>
      </c>
      <c r="E314" s="155"/>
      <c r="F314" s="155"/>
      <c r="G314" s="153"/>
      <c r="H314" s="251" t="s">
        <v>33</v>
      </c>
      <c r="I314" s="169">
        <f ca="1">IFERROR(__xludf.DUMMYFUNCTION("IMPORTRANGE(""https://docs.google.com/spreadsheets/d/1eHaY18a8A9IcSdp1K8H6x8fbOy06t2VsZHhMHf-1x7Y/edit?usp=sharing"",""แผน!EF27"")"),0)</f>
        <v>0</v>
      </c>
      <c r="J314" s="250">
        <v>0</v>
      </c>
      <c r="K314" s="47">
        <f ca="1">IF(I314&gt;0,J314*100/I314,0)</f>
        <v>0</v>
      </c>
      <c r="L314" s="46"/>
      <c r="M314" s="46"/>
      <c r="N314" s="46"/>
      <c r="O314" s="46"/>
      <c r="P314" s="46"/>
    </row>
    <row r="315" spans="1:16" ht="18.75" hidden="1" x14ac:dyDescent="0.25">
      <c r="A315" s="148"/>
      <c r="B315" s="149"/>
      <c r="C315" s="149"/>
      <c r="D315" s="159" t="s">
        <v>123</v>
      </c>
      <c r="E315" s="155"/>
      <c r="F315" s="155"/>
      <c r="G315" s="153"/>
      <c r="H315" s="251" t="s">
        <v>33</v>
      </c>
      <c r="I315" s="169">
        <f ca="1">IFERROR(__xludf.DUMMYFUNCTION("IMPORTRANGE(""https://docs.google.com/spreadsheets/d/1eHaY18a8A9IcSdp1K8H6x8fbOy06t2VsZHhMHf-1x7Y/edit?usp=sharing"",""แผน!EG27"")"),0)</f>
        <v>0</v>
      </c>
      <c r="J315" s="250">
        <v>0</v>
      </c>
      <c r="K315" s="47">
        <f ca="1">IF(I315&gt;0,J315*100/I315,0)</f>
        <v>0</v>
      </c>
      <c r="L315" s="46"/>
      <c r="M315" s="46"/>
      <c r="N315" s="46"/>
      <c r="O315" s="46"/>
      <c r="P315" s="46"/>
    </row>
    <row r="316" spans="1:16" ht="18.75" hidden="1" x14ac:dyDescent="0.25">
      <c r="A316" s="148"/>
      <c r="B316" s="149"/>
      <c r="C316" s="149"/>
      <c r="D316" s="159" t="s">
        <v>48</v>
      </c>
      <c r="E316" s="155"/>
      <c r="F316" s="155"/>
      <c r="G316" s="153"/>
      <c r="H316" s="251" t="s">
        <v>33</v>
      </c>
      <c r="I316" s="169">
        <f ca="1">IFERROR(__xludf.DUMMYFUNCTION("IMPORTRANGE(""https://docs.google.com/spreadsheets/d/1eHaY18a8A9IcSdp1K8H6x8fbOy06t2VsZHhMHf-1x7Y/edit?usp=sharing"",""แผน!EH27"")"),0)</f>
        <v>0</v>
      </c>
      <c r="J316" s="250">
        <v>0</v>
      </c>
      <c r="K316" s="47">
        <f ca="1">IF(I316&gt;0,J316*100/I316,0)</f>
        <v>0</v>
      </c>
      <c r="L316" s="46"/>
      <c r="M316" s="46"/>
      <c r="N316" s="46"/>
      <c r="O316" s="46"/>
      <c r="P316" s="46"/>
    </row>
    <row r="317" spans="1:16" ht="18.75" hidden="1" x14ac:dyDescent="0.25">
      <c r="A317" s="227"/>
      <c r="B317" s="228"/>
      <c r="C317" s="228"/>
      <c r="D317" s="279" t="s">
        <v>124</v>
      </c>
      <c r="E317" s="41"/>
      <c r="F317" s="41"/>
      <c r="G317" s="43"/>
      <c r="H317" s="49" t="s">
        <v>33</v>
      </c>
      <c r="I317" s="200">
        <f ca="1">IFERROR(__xludf.DUMMYFUNCTION("IMPORTRANGE(""https://docs.google.com/spreadsheets/d/1eHaY18a8A9IcSdp1K8H6x8fbOy06t2VsZHhMHf-1x7Y/edit?usp=sharing"",""แผน!EI27"")"),0)</f>
        <v>0</v>
      </c>
      <c r="J317" s="200">
        <v>0</v>
      </c>
      <c r="K317" s="50">
        <f ca="1">IF(I317&gt;0,J317*100/I317,0)</f>
        <v>0</v>
      </c>
      <c r="L317" s="46"/>
      <c r="M317" s="46"/>
      <c r="N317" s="46"/>
      <c r="O317" s="46"/>
      <c r="P317" s="46"/>
    </row>
    <row r="318" spans="1:16" ht="19.5" hidden="1" x14ac:dyDescent="0.3">
      <c r="A318" s="317" t="s">
        <v>125</v>
      </c>
      <c r="B318" s="318"/>
      <c r="C318" s="318"/>
      <c r="D318" s="319"/>
      <c r="E318" s="318"/>
      <c r="F318" s="318"/>
      <c r="G318" s="318"/>
      <c r="H318" s="319"/>
      <c r="I318" s="321"/>
      <c r="J318" s="321"/>
      <c r="K318" s="322"/>
      <c r="L318" s="322"/>
      <c r="M318" s="322"/>
      <c r="N318" s="322"/>
      <c r="O318" s="322"/>
      <c r="P318" s="322"/>
    </row>
    <row r="319" spans="1:16" ht="19.5" hidden="1" x14ac:dyDescent="0.3">
      <c r="A319" s="331"/>
      <c r="B319" s="324" t="s">
        <v>126</v>
      </c>
      <c r="C319" s="332"/>
      <c r="D319" s="333"/>
      <c r="E319" s="325"/>
      <c r="F319" s="325"/>
      <c r="G319" s="326"/>
      <c r="H319" s="327" t="s">
        <v>127</v>
      </c>
      <c r="I319" s="328">
        <f ca="1">I330</f>
        <v>0</v>
      </c>
      <c r="J319" s="328">
        <f>J330</f>
        <v>0</v>
      </c>
      <c r="K319" s="329">
        <f ca="1">IF(I319&gt;0,J319*100/I319,0)</f>
        <v>0</v>
      </c>
      <c r="L319" s="330"/>
      <c r="M319" s="330"/>
      <c r="N319" s="330"/>
      <c r="O319" s="330"/>
      <c r="P319" s="330"/>
    </row>
    <row r="320" spans="1:16" ht="19.5" hidden="1" x14ac:dyDescent="0.3">
      <c r="A320" s="136"/>
      <c r="B320" s="41"/>
      <c r="C320" s="197" t="s">
        <v>16</v>
      </c>
      <c r="D320" s="397" t="s">
        <v>17</v>
      </c>
      <c r="E320" s="41"/>
      <c r="F320" s="41"/>
      <c r="G320" s="43"/>
      <c r="H320" s="139" t="s">
        <v>12</v>
      </c>
      <c r="I320" s="45"/>
      <c r="J320" s="45"/>
      <c r="K320" s="46"/>
      <c r="L320" s="140">
        <f ca="1">L321+L322</f>
        <v>0</v>
      </c>
      <c r="M320" s="140">
        <f ca="1">M321+M322</f>
        <v>0</v>
      </c>
      <c r="N320" s="140">
        <f ca="1">N321+N322</f>
        <v>0</v>
      </c>
      <c r="O320" s="140">
        <f ca="1">IF(L320&gt;0,N320*100/L320,0)</f>
        <v>0</v>
      </c>
      <c r="P320" s="140">
        <f ca="1">IF(M320&gt;0,N320*100/M320,0)</f>
        <v>0</v>
      </c>
    </row>
    <row r="321" spans="1:16" ht="18.75" hidden="1" x14ac:dyDescent="0.25">
      <c r="A321" s="136"/>
      <c r="B321" s="41"/>
      <c r="C321" s="41"/>
      <c r="D321" s="41"/>
      <c r="E321" s="279" t="s">
        <v>18</v>
      </c>
      <c r="F321" s="41"/>
      <c r="G321" s="43"/>
      <c r="H321" s="141" t="s">
        <v>12</v>
      </c>
      <c r="I321" s="45"/>
      <c r="J321" s="45"/>
      <c r="K321" s="46"/>
      <c r="L321" s="50">
        <f>L324+L327</f>
        <v>0</v>
      </c>
      <c r="M321" s="50">
        <f>M324+M327</f>
        <v>0</v>
      </c>
      <c r="N321" s="50">
        <f>N324+N327</f>
        <v>0</v>
      </c>
      <c r="O321" s="50">
        <f>IF(L321&gt;0,N321*100/L321,0)</f>
        <v>0</v>
      </c>
      <c r="P321" s="50">
        <f>IF(M321&gt;0,N321*100/M321,0)</f>
        <v>0</v>
      </c>
    </row>
    <row r="322" spans="1:16" ht="18.75" hidden="1" x14ac:dyDescent="0.25">
      <c r="A322" s="136"/>
      <c r="B322" s="41"/>
      <c r="C322" s="41"/>
      <c r="D322" s="41"/>
      <c r="E322" s="254" t="s">
        <v>19</v>
      </c>
      <c r="F322" s="41"/>
      <c r="G322" s="43"/>
      <c r="H322" s="142" t="s">
        <v>12</v>
      </c>
      <c r="I322" s="45"/>
      <c r="J322" s="45"/>
      <c r="K322" s="46"/>
      <c r="L322" s="47">
        <f ca="1">L325+L328</f>
        <v>0</v>
      </c>
      <c r="M322" s="47">
        <f ca="1">M325+M328</f>
        <v>0</v>
      </c>
      <c r="N322" s="47">
        <f ca="1">N325+N328</f>
        <v>0</v>
      </c>
      <c r="O322" s="47">
        <f ca="1">IF(L322&gt;0,N322*100/L322,0)</f>
        <v>0</v>
      </c>
      <c r="P322" s="47">
        <f ca="1">IF(M322&gt;0,N322*100/M322,0)</f>
        <v>0</v>
      </c>
    </row>
    <row r="323" spans="1:16" ht="18.75" hidden="1" x14ac:dyDescent="0.25">
      <c r="A323" s="136"/>
      <c r="B323" s="41"/>
      <c r="C323" s="41"/>
      <c r="D323" s="42" t="s">
        <v>20</v>
      </c>
      <c r="E323" s="41"/>
      <c r="F323" s="41"/>
      <c r="G323" s="43"/>
      <c r="H323" s="143" t="s">
        <v>12</v>
      </c>
      <c r="I323" s="144"/>
      <c r="J323" s="144"/>
      <c r="K323" s="145"/>
      <c r="L323" s="47">
        <f ca="1">L324+L325</f>
        <v>0</v>
      </c>
      <c r="M323" s="47">
        <f ca="1">M324+M325</f>
        <v>0</v>
      </c>
      <c r="N323" s="47">
        <f ca="1">N324+N325</f>
        <v>0</v>
      </c>
      <c r="O323" s="47">
        <f ca="1">IF(L323&gt;0,N323*100/L323,0)</f>
        <v>0</v>
      </c>
      <c r="P323" s="47">
        <f ca="1">IF(M323&gt;0,N323*100/M323,0)</f>
        <v>0</v>
      </c>
    </row>
    <row r="324" spans="1:16" ht="18.75" hidden="1" x14ac:dyDescent="0.25">
      <c r="A324" s="136"/>
      <c r="B324" s="41"/>
      <c r="C324" s="41"/>
      <c r="D324" s="41"/>
      <c r="E324" s="279" t="s">
        <v>34</v>
      </c>
      <c r="F324" s="41"/>
      <c r="G324" s="43"/>
      <c r="H324" s="146" t="s">
        <v>12</v>
      </c>
      <c r="I324" s="144"/>
      <c r="J324" s="144"/>
      <c r="K324" s="145"/>
      <c r="L324" s="50">
        <v>0</v>
      </c>
      <c r="M324" s="50">
        <v>0</v>
      </c>
      <c r="N324" s="50">
        <v>0</v>
      </c>
      <c r="O324" s="50">
        <f>IF(L324&gt;0,N324*100/L324,0)</f>
        <v>0</v>
      </c>
      <c r="P324" s="50">
        <f>IF(M324&gt;0,N324*100/M324,0)</f>
        <v>0</v>
      </c>
    </row>
    <row r="325" spans="1:16" ht="18.75" hidden="1" x14ac:dyDescent="0.25">
      <c r="A325" s="136"/>
      <c r="B325" s="41"/>
      <c r="C325" s="41"/>
      <c r="D325" s="41"/>
      <c r="E325" s="254" t="s">
        <v>35</v>
      </c>
      <c r="F325" s="41"/>
      <c r="G325" s="43"/>
      <c r="H325" s="143" t="s">
        <v>12</v>
      </c>
      <c r="I325" s="144"/>
      <c r="J325" s="144"/>
      <c r="K325" s="145"/>
      <c r="L325" s="47">
        <f ca="1">IFERROR(__xludf.DUMMYFUNCTION("IMPORTRANGE(""https://docs.google.com/spreadsheets/d/1-uDff_7J0KD5mKrp0Vvzr7lt3OU09vwQwhkpOPPYv2Y/edit?usp=sharing"",""งบพรบ!EI27"")"),0)</f>
        <v>0</v>
      </c>
      <c r="M325" s="47">
        <f ca="1">IFERROR(__xludf.DUMMYFUNCTION("IMPORTRANGE(""https://docs.google.com/spreadsheets/d/1-uDff_7J0KD5mKrp0Vvzr7lt3OU09vwQwhkpOPPYv2Y/edit?usp=sharing"",""งบพรบ!EN27"")"),0)</f>
        <v>0</v>
      </c>
      <c r="N325" s="47">
        <f ca="1">IFERROR(__xludf.DUMMYFUNCTION("IMPORTRANGE(""https://docs.google.com/spreadsheets/d/1-uDff_7J0KD5mKrp0Vvzr7lt3OU09vwQwhkpOPPYv2Y/edit?usp=sharing"",""งบพรบ!EP27"")"),0)</f>
        <v>0</v>
      </c>
      <c r="O325" s="47">
        <f ca="1">IF(L325&gt;0,N325*100/L325,0)</f>
        <v>0</v>
      </c>
      <c r="P325" s="47">
        <f ca="1">IF(M325&gt;0,N325*100/M325,0)</f>
        <v>0</v>
      </c>
    </row>
    <row r="326" spans="1:16" ht="18.75" hidden="1" x14ac:dyDescent="0.25">
      <c r="A326" s="136"/>
      <c r="B326" s="41"/>
      <c r="C326" s="41"/>
      <c r="D326" s="42" t="s">
        <v>21</v>
      </c>
      <c r="E326" s="41"/>
      <c r="F326" s="41"/>
      <c r="G326" s="43"/>
      <c r="H326" s="147" t="s">
        <v>12</v>
      </c>
      <c r="I326" s="144"/>
      <c r="J326" s="144"/>
      <c r="K326" s="145"/>
      <c r="L326" s="47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</row>
    <row r="327" spans="1:16" ht="18.75" hidden="1" x14ac:dyDescent="0.25">
      <c r="A327" s="136"/>
      <c r="B327" s="41"/>
      <c r="C327" s="41"/>
      <c r="D327" s="41"/>
      <c r="E327" s="279" t="s">
        <v>18</v>
      </c>
      <c r="F327" s="41"/>
      <c r="G327" s="43"/>
      <c r="H327" s="146" t="s">
        <v>12</v>
      </c>
      <c r="I327" s="144"/>
      <c r="J327" s="144"/>
      <c r="K327" s="145"/>
      <c r="L327" s="50">
        <v>0</v>
      </c>
      <c r="M327" s="50">
        <v>0</v>
      </c>
      <c r="N327" s="50">
        <v>0</v>
      </c>
      <c r="O327" s="50">
        <f>IF(L327&gt;0,N327*100/L327,0)</f>
        <v>0</v>
      </c>
      <c r="P327" s="50">
        <f>IF(M327&gt;0,N327*100/M327,0)</f>
        <v>0</v>
      </c>
    </row>
    <row r="328" spans="1:16" ht="18.75" hidden="1" x14ac:dyDescent="0.25">
      <c r="A328" s="136"/>
      <c r="B328" s="41"/>
      <c r="C328" s="41"/>
      <c r="D328" s="41"/>
      <c r="E328" s="254" t="s">
        <v>19</v>
      </c>
      <c r="F328" s="41"/>
      <c r="G328" s="43"/>
      <c r="H328" s="147" t="s">
        <v>12</v>
      </c>
      <c r="I328" s="144"/>
      <c r="J328" s="144"/>
      <c r="K328" s="145"/>
      <c r="L328" s="47">
        <f ca="1">IFERROR(__xludf.DUMMYFUNCTION("IMPORTRANGE(""https://docs.google.com/spreadsheets/d/1-uDff_7J0KD5mKrp0Vvzr7lt3OU09vwQwhkpOPPYv2Y/edit?usp=sharing"",""งบพรบ!EL27"")"),0)</f>
        <v>0</v>
      </c>
      <c r="M328" s="47">
        <f ca="1">IFERROR(__xludf.DUMMYFUNCTION("IMPORTRANGE(""https://docs.google.com/spreadsheets/d/1-uDff_7J0KD5mKrp0Vvzr7lt3OU09vwQwhkpOPPYv2Y/edit?usp=sharing"",""งบพรบ!EO27"")"),0)</f>
        <v>0</v>
      </c>
      <c r="N328" s="47">
        <f ca="1">IFERROR(__xludf.DUMMYFUNCTION("IMPORTRANGE(""https://docs.google.com/spreadsheets/d/1-uDff_7J0KD5mKrp0Vvzr7lt3OU09vwQwhkpOPPYv2Y/edit?usp=sharing"",""งบพรบ!EQ27"")"),0)</f>
        <v>0</v>
      </c>
      <c r="O328" s="47">
        <f ca="1">IF(L328&gt;0,N328*100/L328,0)</f>
        <v>0</v>
      </c>
      <c r="P328" s="47">
        <f ca="1">IF(M328&gt;0,N328*100/M328,0)</f>
        <v>0</v>
      </c>
    </row>
    <row r="329" spans="1:16" ht="19.5" hidden="1" x14ac:dyDescent="0.3">
      <c r="A329" s="148"/>
      <c r="B329" s="149"/>
      <c r="C329" s="197" t="s">
        <v>16</v>
      </c>
      <c r="D329" s="395" t="s">
        <v>36</v>
      </c>
      <c r="E329" s="151"/>
      <c r="F329" s="151"/>
      <c r="G329" s="152"/>
      <c r="H329" s="153"/>
      <c r="I329" s="144"/>
      <c r="J329" s="45"/>
      <c r="K329" s="46"/>
      <c r="L329" s="46"/>
      <c r="M329" s="46"/>
      <c r="N329" s="46"/>
      <c r="O329" s="145"/>
      <c r="P329" s="145"/>
    </row>
    <row r="330" spans="1:16" ht="18.75" hidden="1" x14ac:dyDescent="0.25">
      <c r="A330" s="148"/>
      <c r="B330" s="149"/>
      <c r="C330" s="149"/>
      <c r="D330" s="154" t="s">
        <v>128</v>
      </c>
      <c r="E330" s="155"/>
      <c r="F330" s="155"/>
      <c r="G330" s="153"/>
      <c r="H330" s="44" t="s">
        <v>127</v>
      </c>
      <c r="I330" s="169">
        <f ca="1">IFERROR(__xludf.DUMMYFUNCTION("IMPORTRANGE(""https://docs.google.com/spreadsheets/d/1eHaY18a8A9IcSdp1K8H6x8fbOy06t2VsZHhMHf-1x7Y/edit?usp=sharing"",""แผน!EJ27"")"),0)</f>
        <v>0</v>
      </c>
      <c r="J330" s="250">
        <v>0</v>
      </c>
      <c r="K330" s="47">
        <f ca="1">IF(I330&gt;0,J330*100/I330,0)</f>
        <v>0</v>
      </c>
      <c r="L330" s="46"/>
      <c r="M330" s="46"/>
      <c r="N330" s="46"/>
      <c r="O330" s="145"/>
      <c r="P330" s="145"/>
    </row>
    <row r="331" spans="1:16" ht="19.5" x14ac:dyDescent="0.3">
      <c r="A331" s="317" t="s">
        <v>129</v>
      </c>
      <c r="B331" s="318"/>
      <c r="C331" s="318"/>
      <c r="D331" s="319"/>
      <c r="E331" s="318"/>
      <c r="F331" s="318"/>
      <c r="G331" s="318"/>
      <c r="H331" s="319"/>
      <c r="I331" s="321"/>
      <c r="J331" s="321"/>
      <c r="K331" s="322"/>
      <c r="L331" s="322"/>
      <c r="M331" s="322"/>
      <c r="N331" s="322"/>
      <c r="O331" s="322"/>
      <c r="P331" s="322"/>
    </row>
    <row r="332" spans="1:16" ht="19.5" x14ac:dyDescent="0.3">
      <c r="A332" s="323"/>
      <c r="B332" s="324" t="s">
        <v>130</v>
      </c>
      <c r="C332" s="333"/>
      <c r="D332" s="325"/>
      <c r="E332" s="325"/>
      <c r="F332" s="325"/>
      <c r="G332" s="326"/>
      <c r="H332" s="327" t="s">
        <v>33</v>
      </c>
      <c r="I332" s="334">
        <f ca="1">I344</f>
        <v>460</v>
      </c>
      <c r="J332" s="335">
        <f ca="1">J344+J347+J348+J349+J353</f>
        <v>1630</v>
      </c>
      <c r="K332" s="336">
        <f ca="1">IF(I332&gt;0,J332*100/I332,0)</f>
        <v>354.3478260869565</v>
      </c>
      <c r="L332" s="330"/>
      <c r="M332" s="330"/>
      <c r="N332" s="330"/>
      <c r="O332" s="330"/>
      <c r="P332" s="330"/>
    </row>
    <row r="333" spans="1:16" ht="19.5" x14ac:dyDescent="0.3">
      <c r="A333" s="136"/>
      <c r="B333" s="41"/>
      <c r="C333" s="197" t="s">
        <v>16</v>
      </c>
      <c r="D333" s="397" t="s">
        <v>17</v>
      </c>
      <c r="E333" s="41"/>
      <c r="F333" s="41"/>
      <c r="G333" s="43"/>
      <c r="H333" s="139" t="s">
        <v>12</v>
      </c>
      <c r="I333" s="45"/>
      <c r="J333" s="45"/>
      <c r="K333" s="46"/>
      <c r="L333" s="140">
        <f ca="1">L334+L335</f>
        <v>105000</v>
      </c>
      <c r="M333" s="140">
        <f ca="1">M334+M335</f>
        <v>83350</v>
      </c>
      <c r="N333" s="140">
        <f ca="1">N334+N335</f>
        <v>15000</v>
      </c>
      <c r="O333" s="140">
        <f ca="1">IF(L333&gt;0,N333*100/L333,0)</f>
        <v>14.285714285714286</v>
      </c>
      <c r="P333" s="140">
        <f ca="1">IF(M333&gt;0,N333*100/M333,0)</f>
        <v>17.99640071985603</v>
      </c>
    </row>
    <row r="334" spans="1:16" ht="18.75" hidden="1" x14ac:dyDescent="0.25">
      <c r="A334" s="136"/>
      <c r="B334" s="41"/>
      <c r="C334" s="41"/>
      <c r="D334" s="41"/>
      <c r="E334" s="279" t="s">
        <v>18</v>
      </c>
      <c r="F334" s="41"/>
      <c r="G334" s="43"/>
      <c r="H334" s="141" t="s">
        <v>12</v>
      </c>
      <c r="I334" s="45"/>
      <c r="J334" s="45"/>
      <c r="K334" s="46"/>
      <c r="L334" s="50">
        <f>L337+L340</f>
        <v>0</v>
      </c>
      <c r="M334" s="50">
        <f>M337+M340</f>
        <v>0</v>
      </c>
      <c r="N334" s="50">
        <f>N337+N340</f>
        <v>0</v>
      </c>
      <c r="O334" s="50">
        <f>IF(L334&gt;0,N334*100/L334,0)</f>
        <v>0</v>
      </c>
      <c r="P334" s="50">
        <f>IF(M334&gt;0,N334*100/M334,0)</f>
        <v>0</v>
      </c>
    </row>
    <row r="335" spans="1:16" ht="18.75" x14ac:dyDescent="0.25">
      <c r="A335" s="136"/>
      <c r="B335" s="41"/>
      <c r="C335" s="41"/>
      <c r="D335" s="41"/>
      <c r="E335" s="254" t="s">
        <v>19</v>
      </c>
      <c r="F335" s="41"/>
      <c r="G335" s="43"/>
      <c r="H335" s="142" t="s">
        <v>12</v>
      </c>
      <c r="I335" s="45"/>
      <c r="J335" s="45"/>
      <c r="K335" s="46"/>
      <c r="L335" s="47">
        <f ca="1">L338+L341</f>
        <v>105000</v>
      </c>
      <c r="M335" s="47">
        <f ca="1">M338+M341</f>
        <v>83350</v>
      </c>
      <c r="N335" s="47">
        <f ca="1">N338+N341</f>
        <v>15000</v>
      </c>
      <c r="O335" s="47">
        <f ca="1">IF(L335&gt;0,N335*100/L335,0)</f>
        <v>14.285714285714286</v>
      </c>
      <c r="P335" s="47">
        <f ca="1">IF(M335&gt;0,N335*100/M335,0)</f>
        <v>17.99640071985603</v>
      </c>
    </row>
    <row r="336" spans="1:16" ht="18.75" x14ac:dyDescent="0.25">
      <c r="A336" s="136"/>
      <c r="B336" s="41"/>
      <c r="C336" s="41"/>
      <c r="D336" s="42" t="s">
        <v>20</v>
      </c>
      <c r="E336" s="41"/>
      <c r="F336" s="41"/>
      <c r="G336" s="43"/>
      <c r="H336" s="143" t="s">
        <v>12</v>
      </c>
      <c r="I336" s="144"/>
      <c r="J336" s="144"/>
      <c r="K336" s="145"/>
      <c r="L336" s="47">
        <f ca="1">L337+L338</f>
        <v>105000</v>
      </c>
      <c r="M336" s="47">
        <f ca="1">M337+M338</f>
        <v>83350</v>
      </c>
      <c r="N336" s="47">
        <f ca="1">N337+N338</f>
        <v>15000</v>
      </c>
      <c r="O336" s="47">
        <f ca="1">IF(L336&gt;0,N336*100/L336,0)</f>
        <v>14.285714285714286</v>
      </c>
      <c r="P336" s="47">
        <f ca="1">IF(M336&gt;0,N336*100/M336,0)</f>
        <v>17.99640071985603</v>
      </c>
    </row>
    <row r="337" spans="1:16" ht="18.75" hidden="1" x14ac:dyDescent="0.25">
      <c r="A337" s="136"/>
      <c r="B337" s="41"/>
      <c r="C337" s="41"/>
      <c r="D337" s="41"/>
      <c r="E337" s="279" t="s">
        <v>34</v>
      </c>
      <c r="F337" s="41"/>
      <c r="G337" s="43"/>
      <c r="H337" s="146" t="s">
        <v>12</v>
      </c>
      <c r="I337" s="144"/>
      <c r="J337" s="144"/>
      <c r="K337" s="145"/>
      <c r="L337" s="50">
        <v>0</v>
      </c>
      <c r="M337" s="50">
        <v>0</v>
      </c>
      <c r="N337" s="50">
        <v>0</v>
      </c>
      <c r="O337" s="50">
        <f>IF(L337&gt;0,N337*100/L337,0)</f>
        <v>0</v>
      </c>
      <c r="P337" s="50">
        <f>IF(M337&gt;0,N337*100/M337,0)</f>
        <v>0</v>
      </c>
    </row>
    <row r="338" spans="1:16" ht="18.75" x14ac:dyDescent="0.25">
      <c r="A338" s="136"/>
      <c r="B338" s="41"/>
      <c r="C338" s="41"/>
      <c r="D338" s="41"/>
      <c r="E338" s="254" t="s">
        <v>35</v>
      </c>
      <c r="F338" s="41"/>
      <c r="G338" s="43"/>
      <c r="H338" s="143" t="s">
        <v>12</v>
      </c>
      <c r="I338" s="144"/>
      <c r="J338" s="144"/>
      <c r="K338" s="145"/>
      <c r="L338" s="47">
        <f ca="1">IFERROR(__xludf.DUMMYFUNCTION("IMPORTRANGE(""https://docs.google.com/spreadsheets/d/1-uDff_7J0KD5mKrp0Vvzr7lt3OU09vwQwhkpOPPYv2Y/edit?usp=sharing"",""งบพรบ!ES27"")"),105000)</f>
        <v>105000</v>
      </c>
      <c r="M338" s="47">
        <f ca="1">IFERROR(__xludf.DUMMYFUNCTION("IMPORTRANGE(""https://docs.google.com/spreadsheets/d/1-uDff_7J0KD5mKrp0Vvzr7lt3OU09vwQwhkpOPPYv2Y/edit?usp=sharing"",""งบพรบ!EX27"")"),83350)</f>
        <v>83350</v>
      </c>
      <c r="N338" s="47">
        <f ca="1">IFERROR(__xludf.DUMMYFUNCTION("IMPORTRANGE(""https://docs.google.com/spreadsheets/d/1-uDff_7J0KD5mKrp0Vvzr7lt3OU09vwQwhkpOPPYv2Y/edit?usp=sharing"",""งบพรบ!EZ27"")"),15000)</f>
        <v>15000</v>
      </c>
      <c r="O338" s="47">
        <f ca="1">IF(L338&gt;0,N338*100/L338,0)</f>
        <v>14.285714285714286</v>
      </c>
      <c r="P338" s="47">
        <f ca="1">IF(M338&gt;0,N338*100/M338,0)</f>
        <v>17.99640071985603</v>
      </c>
    </row>
    <row r="339" spans="1:16" ht="18.75" x14ac:dyDescent="0.25">
      <c r="A339" s="136"/>
      <c r="B339" s="41"/>
      <c r="C339" s="41"/>
      <c r="D339" s="42" t="s">
        <v>21</v>
      </c>
      <c r="E339" s="41"/>
      <c r="F339" s="41"/>
      <c r="G339" s="43"/>
      <c r="H339" s="147" t="s">
        <v>12</v>
      </c>
      <c r="I339" s="144"/>
      <c r="J339" s="144"/>
      <c r="K339" s="145"/>
      <c r="L339" s="47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</row>
    <row r="340" spans="1:16" ht="18.75" hidden="1" x14ac:dyDescent="0.25">
      <c r="A340" s="136"/>
      <c r="B340" s="41"/>
      <c r="C340" s="41"/>
      <c r="D340" s="41"/>
      <c r="E340" s="279" t="s">
        <v>18</v>
      </c>
      <c r="F340" s="41"/>
      <c r="G340" s="43"/>
      <c r="H340" s="146" t="s">
        <v>12</v>
      </c>
      <c r="I340" s="144"/>
      <c r="J340" s="144"/>
      <c r="K340" s="145"/>
      <c r="L340" s="50">
        <v>0</v>
      </c>
      <c r="M340" s="50">
        <v>0</v>
      </c>
      <c r="N340" s="50">
        <v>0</v>
      </c>
      <c r="O340" s="50">
        <f>IF(L340&gt;0,N340*100/L340,0)</f>
        <v>0</v>
      </c>
      <c r="P340" s="50">
        <f>IF(M340&gt;0,N340*100/M340,0)</f>
        <v>0</v>
      </c>
    </row>
    <row r="341" spans="1:16" ht="18.75" x14ac:dyDescent="0.25">
      <c r="A341" s="136"/>
      <c r="B341" s="41"/>
      <c r="C341" s="41"/>
      <c r="D341" s="41"/>
      <c r="E341" s="254" t="s">
        <v>19</v>
      </c>
      <c r="F341" s="41"/>
      <c r="G341" s="43"/>
      <c r="H341" s="147" t="s">
        <v>12</v>
      </c>
      <c r="I341" s="144"/>
      <c r="J341" s="144"/>
      <c r="K341" s="145"/>
      <c r="L341" s="47">
        <f ca="1">IFERROR(__xludf.DUMMYFUNCTION("IMPORTRANGE(""https://docs.google.com/spreadsheets/d/1-uDff_7J0KD5mKrp0Vvzr7lt3OU09vwQwhkpOPPYv2Y/edit?usp=sharing"",""งบพรบ!EV27"")"),0)</f>
        <v>0</v>
      </c>
      <c r="M341" s="47">
        <f ca="1">IFERROR(__xludf.DUMMYFUNCTION("IMPORTRANGE(""https://docs.google.com/spreadsheets/d/1-uDff_7J0KD5mKrp0Vvzr7lt3OU09vwQwhkpOPPYv2Y/edit?usp=sharing"",""งบพรบ!EY27"")"),0)</f>
        <v>0</v>
      </c>
      <c r="N341" s="47">
        <f ca="1">IFERROR(__xludf.DUMMYFUNCTION("IMPORTRANGE(""https://docs.google.com/spreadsheets/d/1-uDff_7J0KD5mKrp0Vvzr7lt3OU09vwQwhkpOPPYv2Y/edit?usp=sharing"",""งบพรบ!FA27"")"),0)</f>
        <v>0</v>
      </c>
      <c r="O341" s="47">
        <f ca="1">IF(L341&gt;0,N341*100/L341,0)</f>
        <v>0</v>
      </c>
      <c r="P341" s="47">
        <f ca="1">IF(M341&gt;0,N341*100/M341,0)</f>
        <v>0</v>
      </c>
    </row>
    <row r="342" spans="1:16" ht="19.5" x14ac:dyDescent="0.3">
      <c r="A342" s="148"/>
      <c r="B342" s="149"/>
      <c r="C342" s="197" t="s">
        <v>16</v>
      </c>
      <c r="D342" s="221" t="s">
        <v>36</v>
      </c>
      <c r="E342" s="151"/>
      <c r="F342" s="151"/>
      <c r="G342" s="152"/>
      <c r="H342" s="43"/>
      <c r="I342" s="45"/>
      <c r="J342" s="45"/>
      <c r="K342" s="46"/>
      <c r="L342" s="46"/>
      <c r="M342" s="46"/>
      <c r="N342" s="46"/>
      <c r="O342" s="145"/>
      <c r="P342" s="145"/>
    </row>
    <row r="343" spans="1:16" ht="19.5" x14ac:dyDescent="0.3">
      <c r="A343" s="337"/>
      <c r="B343" s="338"/>
      <c r="C343" s="339"/>
      <c r="D343" s="338"/>
      <c r="E343" s="398" t="s">
        <v>131</v>
      </c>
      <c r="F343" s="338"/>
      <c r="G343" s="341"/>
      <c r="H343" s="342" t="s">
        <v>33</v>
      </c>
      <c r="I343" s="343">
        <v>0</v>
      </c>
      <c r="J343" s="343">
        <f ca="1">J344+J347+J348+J349</f>
        <v>84</v>
      </c>
      <c r="K343" s="344">
        <v>0</v>
      </c>
      <c r="L343" s="345"/>
      <c r="M343" s="345"/>
      <c r="N343" s="345"/>
      <c r="O343" s="345"/>
      <c r="P343" s="345"/>
    </row>
    <row r="344" spans="1:16" ht="18.75" x14ac:dyDescent="0.25">
      <c r="A344" s="227"/>
      <c r="B344" s="41"/>
      <c r="C344" s="228"/>
      <c r="D344" s="155"/>
      <c r="E344" s="159" t="s">
        <v>132</v>
      </c>
      <c r="F344" s="41"/>
      <c r="G344" s="43"/>
      <c r="H344" s="230" t="s">
        <v>33</v>
      </c>
      <c r="I344" s="169">
        <f ca="1">IFERROR(__xludf.DUMMYFUNCTION("IMPORTRANGE(""https://docs.google.com/spreadsheets/d/1eHaY18a8A9IcSdp1K8H6x8fbOy06t2VsZHhMHf-1x7Y/edit?usp=sharing"",""แผน!EK27"")"),460)</f>
        <v>460</v>
      </c>
      <c r="J344" s="169">
        <f ca="1">IFERROR(__xludf.DUMMYFUNCTION("IMPORTRANGE(""https://docs.google.com/spreadsheets/d/1awYsYK3VOup2i3Pq_Yjnu8DRu_mYwSBnCR2QPthd0rU/edit?usp=sharing"",""ศูนย์ยกเว้นโฉนด!D27"")"),12)</f>
        <v>12</v>
      </c>
      <c r="K344" s="47">
        <f ca="1">IF(I344&gt;0,J344*100/I344,0)</f>
        <v>2.6086956521739131</v>
      </c>
      <c r="L344" s="46"/>
      <c r="M344" s="46"/>
      <c r="N344" s="46"/>
      <c r="O344" s="46"/>
      <c r="P344" s="46"/>
    </row>
    <row r="345" spans="1:16" ht="18.75" x14ac:dyDescent="0.25">
      <c r="A345" s="227"/>
      <c r="B345" s="41"/>
      <c r="C345" s="228"/>
      <c r="D345" s="155"/>
      <c r="E345" s="159" t="s">
        <v>133</v>
      </c>
      <c r="F345" s="41"/>
      <c r="G345" s="43"/>
      <c r="H345" s="346"/>
      <c r="I345" s="45"/>
      <c r="J345" s="45"/>
      <c r="K345" s="46"/>
      <c r="L345" s="46"/>
      <c r="M345" s="46"/>
      <c r="N345" s="46"/>
      <c r="O345" s="46"/>
      <c r="P345" s="46"/>
    </row>
    <row r="346" spans="1:16" ht="18.75" x14ac:dyDescent="0.25">
      <c r="A346" s="227"/>
      <c r="B346" s="41"/>
      <c r="C346" s="228"/>
      <c r="D346" s="155"/>
      <c r="E346" s="155"/>
      <c r="F346" s="159" t="s">
        <v>134</v>
      </c>
      <c r="G346" s="43"/>
      <c r="H346" s="347" t="s">
        <v>135</v>
      </c>
      <c r="I346" s="169">
        <f ca="1">IFERROR(__xludf.DUMMYFUNCTION("IMPORTRANGE(""https://docs.google.com/spreadsheets/d/1eHaY18a8A9IcSdp1K8H6x8fbOy06t2VsZHhMHf-1x7Y/edit?usp=sharing"",""แผน!EL27"")"),4)</f>
        <v>4</v>
      </c>
      <c r="J346" s="169">
        <f ca="1">IFERROR(__xludf.DUMMYFUNCTION("IMPORTRANGE(""https://docs.google.com/spreadsheets/d/1awYsYK3VOup2i3Pq_Yjnu8DRu_mYwSBnCR2QPthd0rU/edit?usp=sharing"",""ศูนย์รวม!E27"")"),0)</f>
        <v>0</v>
      </c>
      <c r="K346" s="47">
        <f ca="1">IF(I346&gt;0,J346*100/I346,0)</f>
        <v>0</v>
      </c>
      <c r="L346" s="46"/>
      <c r="M346" s="46"/>
      <c r="N346" s="46"/>
      <c r="O346" s="46"/>
      <c r="P346" s="46"/>
    </row>
    <row r="347" spans="1:16" ht="18.75" x14ac:dyDescent="0.25">
      <c r="A347" s="227"/>
      <c r="B347" s="41"/>
      <c r="C347" s="228"/>
      <c r="D347" s="155"/>
      <c r="E347" s="155"/>
      <c r="F347" s="159" t="s">
        <v>136</v>
      </c>
      <c r="G347" s="43"/>
      <c r="H347" s="347" t="s">
        <v>33</v>
      </c>
      <c r="I347" s="45"/>
      <c r="J347" s="169">
        <f ca="1">IFERROR(__xludf.DUMMYFUNCTION("IMPORTRANGE(""https://docs.google.com/spreadsheets/d/1awYsYK3VOup2i3Pq_Yjnu8DRu_mYwSBnCR2QPthd0rU/edit?usp=sharing"",""ศูนย์ยกเว้นโฉนด!F27"")"),0)</f>
        <v>0</v>
      </c>
      <c r="K347" s="46"/>
      <c r="L347" s="46"/>
      <c r="M347" s="46"/>
      <c r="N347" s="46"/>
      <c r="O347" s="46"/>
      <c r="P347" s="46"/>
    </row>
    <row r="348" spans="1:16" ht="18.75" x14ac:dyDescent="0.25">
      <c r="A348" s="227"/>
      <c r="B348" s="41"/>
      <c r="C348" s="228"/>
      <c r="D348" s="155"/>
      <c r="E348" s="159" t="s">
        <v>137</v>
      </c>
      <c r="F348" s="155"/>
      <c r="G348" s="43"/>
      <c r="H348" s="347" t="s">
        <v>33</v>
      </c>
      <c r="I348" s="45"/>
      <c r="J348" s="169">
        <f ca="1">IFERROR(__xludf.DUMMYFUNCTION("IMPORTRANGE(""https://docs.google.com/spreadsheets/d/1awYsYK3VOup2i3Pq_Yjnu8DRu_mYwSBnCR2QPthd0rU/edit?usp=sharing"",""ศูนย์ยกเว้นโฉนด!G27"")"),72)</f>
        <v>72</v>
      </c>
      <c r="K348" s="46"/>
      <c r="L348" s="46"/>
      <c r="M348" s="46"/>
      <c r="N348" s="46"/>
      <c r="O348" s="46"/>
      <c r="P348" s="46"/>
    </row>
    <row r="349" spans="1:16" ht="18.75" x14ac:dyDescent="0.25">
      <c r="A349" s="227"/>
      <c r="B349" s="41"/>
      <c r="C349" s="228"/>
      <c r="D349" s="149"/>
      <c r="E349" s="159" t="s">
        <v>138</v>
      </c>
      <c r="F349" s="155"/>
      <c r="G349" s="43"/>
      <c r="H349" s="347" t="s">
        <v>33</v>
      </c>
      <c r="I349" s="45"/>
      <c r="J349" s="169">
        <f ca="1">IFERROR(__xludf.DUMMYFUNCTION("IMPORTRANGE(""https://docs.google.com/spreadsheets/d/1awYsYK3VOup2i3Pq_Yjnu8DRu_mYwSBnCR2QPthd0rU/edit?usp=sharing"",""ศูนย์ยกเว้นโฉนด!H27"")"),0)</f>
        <v>0</v>
      </c>
      <c r="K349" s="46"/>
      <c r="L349" s="46"/>
      <c r="M349" s="46"/>
      <c r="N349" s="46"/>
      <c r="O349" s="46"/>
      <c r="P349" s="46"/>
    </row>
    <row r="350" spans="1:16" ht="16.5" x14ac:dyDescent="0.25">
      <c r="A350" s="228"/>
      <c r="B350" s="41"/>
      <c r="C350" s="228"/>
      <c r="D350" s="34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1"/>
      <c r="F350" s="41"/>
      <c r="G350" s="43"/>
      <c r="H350" s="346"/>
      <c r="I350" s="45"/>
      <c r="J350" s="45"/>
      <c r="K350" s="46"/>
      <c r="L350" s="46"/>
      <c r="M350" s="46"/>
      <c r="N350" s="46"/>
      <c r="O350" s="46"/>
      <c r="P350" s="46"/>
    </row>
    <row r="351" spans="1:16" ht="19.5" x14ac:dyDescent="0.3">
      <c r="A351" s="233"/>
      <c r="B351" s="236"/>
      <c r="C351" s="234"/>
      <c r="D351" s="236"/>
      <c r="E351" s="396" t="s">
        <v>139</v>
      </c>
      <c r="F351" s="236"/>
      <c r="G351" s="237"/>
      <c r="H351" s="238" t="s">
        <v>33</v>
      </c>
      <c r="I351" s="239">
        <v>0</v>
      </c>
      <c r="J351" s="239">
        <f ca="1">J352+J353</f>
        <v>1715</v>
      </c>
      <c r="K351" s="240">
        <v>0</v>
      </c>
      <c r="L351" s="241"/>
      <c r="M351" s="241"/>
      <c r="N351" s="241"/>
      <c r="O351" s="241"/>
      <c r="P351" s="241"/>
    </row>
    <row r="352" spans="1:16" ht="18.75" x14ac:dyDescent="0.25">
      <c r="A352" s="228"/>
      <c r="B352" s="41"/>
      <c r="C352" s="228"/>
      <c r="D352" s="155"/>
      <c r="E352" s="159" t="s">
        <v>140</v>
      </c>
      <c r="F352" s="41"/>
      <c r="G352" s="43"/>
      <c r="H352" s="142" t="s">
        <v>33</v>
      </c>
      <c r="I352" s="45"/>
      <c r="J352" s="169">
        <f ca="1">IFERROR(__xludf.DUMMYFUNCTION("IMPORTRANGE(""https://docs.google.com/spreadsheets/d/1awYsYK3VOup2i3Pq_Yjnu8DRu_mYwSBnCR2QPthd0rU/edit?usp=sharing"",""โฉนดM3!G27"")"),169)</f>
        <v>169</v>
      </c>
      <c r="K352" s="46"/>
      <c r="L352" s="46"/>
      <c r="M352" s="46"/>
      <c r="N352" s="46"/>
      <c r="O352" s="46"/>
      <c r="P352" s="46"/>
    </row>
    <row r="353" spans="1:16" ht="18.75" x14ac:dyDescent="0.25">
      <c r="A353" s="228"/>
      <c r="B353" s="41"/>
      <c r="C353" s="228"/>
      <c r="D353" s="155"/>
      <c r="E353" s="159" t="s">
        <v>141</v>
      </c>
      <c r="F353" s="41"/>
      <c r="G353" s="43"/>
      <c r="H353" s="142" t="s">
        <v>33</v>
      </c>
      <c r="I353" s="45"/>
      <c r="J353" s="169">
        <f ca="1">IFERROR(__xludf.DUMMYFUNCTION("IMPORTRANGE(""https://docs.google.com/spreadsheets/d/1awYsYK3VOup2i3Pq_Yjnu8DRu_mYwSBnCR2QPthd0rU/edit?usp=sharing"",""โฉนดM3!H27"")"),1546)</f>
        <v>1546</v>
      </c>
      <c r="K353" s="46"/>
      <c r="L353" s="46"/>
      <c r="M353" s="46"/>
      <c r="N353" s="46"/>
      <c r="O353" s="46"/>
      <c r="P353" s="46"/>
    </row>
    <row r="354" spans="1:16" ht="16.5" x14ac:dyDescent="0.25">
      <c r="A354" s="228"/>
      <c r="B354" s="41"/>
      <c r="C354" s="228"/>
      <c r="D354" s="34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1"/>
      <c r="F354" s="41"/>
      <c r="G354" s="43"/>
      <c r="H354" s="346"/>
      <c r="I354" s="45"/>
      <c r="J354" s="45"/>
      <c r="K354" s="46"/>
      <c r="L354" s="46"/>
      <c r="M354" s="46"/>
      <c r="N354" s="46"/>
      <c r="O354" s="46"/>
      <c r="P354" s="46"/>
    </row>
    <row r="355" spans="1:16" ht="19.5" x14ac:dyDescent="0.3">
      <c r="A355" s="323"/>
      <c r="B355" s="324" t="s">
        <v>142</v>
      </c>
      <c r="C355" s="333"/>
      <c r="D355" s="325"/>
      <c r="E355" s="325"/>
      <c r="F355" s="325"/>
      <c r="G355" s="326"/>
      <c r="H355" s="326"/>
      <c r="I355" s="350"/>
      <c r="J355" s="350"/>
      <c r="K355" s="330"/>
      <c r="L355" s="330"/>
      <c r="M355" s="330"/>
      <c r="N355" s="330"/>
      <c r="O355" s="330"/>
      <c r="P355" s="330"/>
    </row>
    <row r="356" spans="1:16" ht="19.5" x14ac:dyDescent="0.3">
      <c r="A356" s="136"/>
      <c r="B356" s="41"/>
      <c r="C356" s="197" t="s">
        <v>16</v>
      </c>
      <c r="D356" s="397" t="s">
        <v>17</v>
      </c>
      <c r="E356" s="41"/>
      <c r="F356" s="41"/>
      <c r="G356" s="43"/>
      <c r="H356" s="139" t="s">
        <v>12</v>
      </c>
      <c r="I356" s="45"/>
      <c r="J356" s="45"/>
      <c r="K356" s="46"/>
      <c r="L356" s="140">
        <f ca="1">L357+L358</f>
        <v>243965</v>
      </c>
      <c r="M356" s="140">
        <f ca="1">M357+M358</f>
        <v>203365</v>
      </c>
      <c r="N356" s="140">
        <f ca="1">N357+N358</f>
        <v>20000</v>
      </c>
      <c r="O356" s="140">
        <f ca="1">IF(L356&gt;0,N356*100/L356,0)</f>
        <v>8.1978972393581042</v>
      </c>
      <c r="P356" s="140">
        <f ca="1">IF(M356&gt;0,N356*100/M356,0)</f>
        <v>9.8345339660216844</v>
      </c>
    </row>
    <row r="357" spans="1:16" ht="18.75" hidden="1" x14ac:dyDescent="0.25">
      <c r="A357" s="136"/>
      <c r="B357" s="41"/>
      <c r="C357" s="41"/>
      <c r="D357" s="41"/>
      <c r="E357" s="279" t="s">
        <v>18</v>
      </c>
      <c r="F357" s="41"/>
      <c r="G357" s="43"/>
      <c r="H357" s="141" t="s">
        <v>12</v>
      </c>
      <c r="I357" s="45"/>
      <c r="J357" s="45"/>
      <c r="K357" s="46"/>
      <c r="L357" s="50">
        <f>L360+L363</f>
        <v>0</v>
      </c>
      <c r="M357" s="50">
        <f>M360+M363</f>
        <v>0</v>
      </c>
      <c r="N357" s="50">
        <f>N360+N363</f>
        <v>0</v>
      </c>
      <c r="O357" s="50">
        <f>IF(L357&gt;0,N357*100/L357,0)</f>
        <v>0</v>
      </c>
      <c r="P357" s="50">
        <f>IF(M357&gt;0,N357*100/M357,0)</f>
        <v>0</v>
      </c>
    </row>
    <row r="358" spans="1:16" ht="18.75" x14ac:dyDescent="0.25">
      <c r="A358" s="136"/>
      <c r="B358" s="41"/>
      <c r="C358" s="41"/>
      <c r="D358" s="41"/>
      <c r="E358" s="254" t="s">
        <v>19</v>
      </c>
      <c r="F358" s="41"/>
      <c r="G358" s="43"/>
      <c r="H358" s="142" t="s">
        <v>12</v>
      </c>
      <c r="I358" s="45"/>
      <c r="J358" s="45"/>
      <c r="K358" s="46"/>
      <c r="L358" s="47">
        <f ca="1">L361+L364</f>
        <v>243965</v>
      </c>
      <c r="M358" s="47">
        <f ca="1">M361+M364</f>
        <v>203365</v>
      </c>
      <c r="N358" s="47">
        <f ca="1">N361+N364</f>
        <v>20000</v>
      </c>
      <c r="O358" s="47">
        <f ca="1">IF(L358&gt;0,N358*100/L358,0)</f>
        <v>8.1978972393581042</v>
      </c>
      <c r="P358" s="47">
        <f ca="1">IF(M358&gt;0,N358*100/M358,0)</f>
        <v>9.8345339660216844</v>
      </c>
    </row>
    <row r="359" spans="1:16" ht="18.75" x14ac:dyDescent="0.25">
      <c r="A359" s="136"/>
      <c r="B359" s="41"/>
      <c r="C359" s="41"/>
      <c r="D359" s="42" t="s">
        <v>20</v>
      </c>
      <c r="E359" s="41"/>
      <c r="F359" s="41"/>
      <c r="G359" s="43"/>
      <c r="H359" s="143" t="s">
        <v>12</v>
      </c>
      <c r="I359" s="144"/>
      <c r="J359" s="144"/>
      <c r="K359" s="145"/>
      <c r="L359" s="47">
        <f ca="1">L360+L361</f>
        <v>243965</v>
      </c>
      <c r="M359" s="47">
        <f ca="1">M360+M361</f>
        <v>203365</v>
      </c>
      <c r="N359" s="47">
        <f ca="1">N360+N361</f>
        <v>20000</v>
      </c>
      <c r="O359" s="47">
        <f ca="1">IF(L359&gt;0,N359*100/L359,0)</f>
        <v>8.1978972393581042</v>
      </c>
      <c r="P359" s="47">
        <f ca="1">IF(M359&gt;0,N359*100/M359,0)</f>
        <v>9.8345339660216844</v>
      </c>
    </row>
    <row r="360" spans="1:16" ht="18.75" hidden="1" x14ac:dyDescent="0.25">
      <c r="A360" s="136"/>
      <c r="B360" s="41"/>
      <c r="C360" s="41"/>
      <c r="D360" s="41"/>
      <c r="E360" s="279" t="s">
        <v>34</v>
      </c>
      <c r="F360" s="41"/>
      <c r="G360" s="43"/>
      <c r="H360" s="146" t="s">
        <v>12</v>
      </c>
      <c r="I360" s="144"/>
      <c r="J360" s="144"/>
      <c r="K360" s="145"/>
      <c r="L360" s="50">
        <v>0</v>
      </c>
      <c r="M360" s="50">
        <v>0</v>
      </c>
      <c r="N360" s="50">
        <v>0</v>
      </c>
      <c r="O360" s="50">
        <f>IF(L360&gt;0,N360*100/L360,0)</f>
        <v>0</v>
      </c>
      <c r="P360" s="50">
        <f>IF(M360&gt;0,N360*100/M360,0)</f>
        <v>0</v>
      </c>
    </row>
    <row r="361" spans="1:16" ht="18.75" x14ac:dyDescent="0.25">
      <c r="A361" s="136"/>
      <c r="B361" s="41"/>
      <c r="C361" s="41"/>
      <c r="D361" s="41"/>
      <c r="E361" s="254" t="s">
        <v>35</v>
      </c>
      <c r="F361" s="41"/>
      <c r="G361" s="43"/>
      <c r="H361" s="143" t="s">
        <v>12</v>
      </c>
      <c r="I361" s="144"/>
      <c r="J361" s="144"/>
      <c r="K361" s="145"/>
      <c r="L361" s="47">
        <f ca="1">IFERROR(__xludf.DUMMYFUNCTION("IMPORTRANGE(""https://docs.google.com/spreadsheets/d/1-uDff_7J0KD5mKrp0Vvzr7lt3OU09vwQwhkpOPPYv2Y/edit?usp=sharing"",""งบพรบ!FC27"")"),243965)</f>
        <v>243965</v>
      </c>
      <c r="M361" s="47">
        <f ca="1">IFERROR(__xludf.DUMMYFUNCTION("IMPORTRANGE(""https://docs.google.com/spreadsheets/d/1-uDff_7J0KD5mKrp0Vvzr7lt3OU09vwQwhkpOPPYv2Y/edit?usp=sharing"",""งบพรบ!FH27"")"),203365)</f>
        <v>203365</v>
      </c>
      <c r="N361" s="47">
        <f ca="1">IFERROR(__xludf.DUMMYFUNCTION("IMPORTRANGE(""https://docs.google.com/spreadsheets/d/1-uDff_7J0KD5mKrp0Vvzr7lt3OU09vwQwhkpOPPYv2Y/edit?usp=sharing"",""งบพรบ!FJ27"")"),20000)</f>
        <v>20000</v>
      </c>
      <c r="O361" s="47">
        <f ca="1">IF(L361&gt;0,N361*100/L361,0)</f>
        <v>8.1978972393581042</v>
      </c>
      <c r="P361" s="47">
        <f ca="1">IF(M361&gt;0,N361*100/M361,0)</f>
        <v>9.8345339660216844</v>
      </c>
    </row>
    <row r="362" spans="1:16" ht="18.75" x14ac:dyDescent="0.25">
      <c r="A362" s="136"/>
      <c r="B362" s="41"/>
      <c r="C362" s="41"/>
      <c r="D362" s="42" t="s">
        <v>21</v>
      </c>
      <c r="E362" s="41"/>
      <c r="F362" s="41"/>
      <c r="G362" s="43"/>
      <c r="H362" s="147" t="s">
        <v>12</v>
      </c>
      <c r="I362" s="144"/>
      <c r="J362" s="144"/>
      <c r="K362" s="145"/>
      <c r="L362" s="47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</row>
    <row r="363" spans="1:16" ht="18.75" hidden="1" x14ac:dyDescent="0.25">
      <c r="A363" s="136"/>
      <c r="B363" s="41"/>
      <c r="C363" s="41"/>
      <c r="D363" s="41"/>
      <c r="E363" s="279" t="s">
        <v>18</v>
      </c>
      <c r="F363" s="41"/>
      <c r="G363" s="43"/>
      <c r="H363" s="146" t="s">
        <v>12</v>
      </c>
      <c r="I363" s="144"/>
      <c r="J363" s="144"/>
      <c r="K363" s="145"/>
      <c r="L363" s="50">
        <v>0</v>
      </c>
      <c r="M363" s="50">
        <v>0</v>
      </c>
      <c r="N363" s="50">
        <v>0</v>
      </c>
      <c r="O363" s="50">
        <f>IF(L363&gt;0,N363*100/L363,0)</f>
        <v>0</v>
      </c>
      <c r="P363" s="50">
        <f>IF(M363&gt;0,N363*100/M363,0)</f>
        <v>0</v>
      </c>
    </row>
    <row r="364" spans="1:16" ht="18.75" x14ac:dyDescent="0.25">
      <c r="A364" s="136"/>
      <c r="B364" s="41"/>
      <c r="C364" s="41"/>
      <c r="D364" s="41"/>
      <c r="E364" s="254" t="s">
        <v>19</v>
      </c>
      <c r="F364" s="41"/>
      <c r="G364" s="43"/>
      <c r="H364" s="147" t="s">
        <v>12</v>
      </c>
      <c r="I364" s="144"/>
      <c r="J364" s="144"/>
      <c r="K364" s="145"/>
      <c r="L364" s="47">
        <f ca="1">IFERROR(__xludf.DUMMYFUNCTION("IMPORTRANGE(""https://docs.google.com/spreadsheets/d/1-uDff_7J0KD5mKrp0Vvzr7lt3OU09vwQwhkpOPPYv2Y/edit?usp=sharing"",""งบพรบ!FF27"")"),0)</f>
        <v>0</v>
      </c>
      <c r="M364" s="47">
        <f ca="1">IFERROR(__xludf.DUMMYFUNCTION("IMPORTRANGE(""https://docs.google.com/spreadsheets/d/1-uDff_7J0KD5mKrp0Vvzr7lt3OU09vwQwhkpOPPYv2Y/edit?usp=sharing"",""งบพรบ!FI27"")"),0)</f>
        <v>0</v>
      </c>
      <c r="N364" s="47">
        <f ca="1">IFERROR(__xludf.DUMMYFUNCTION("IMPORTRANGE(""https://docs.google.com/spreadsheets/d/1-uDff_7J0KD5mKrp0Vvzr7lt3OU09vwQwhkpOPPYv2Y/edit?usp=sharing"",""งบพรบ!FK27"")"),0)</f>
        <v>0</v>
      </c>
      <c r="O364" s="47">
        <f ca="1">IF(L364&gt;0,N364*100/L364,0)</f>
        <v>0</v>
      </c>
      <c r="P364" s="47">
        <f ca="1">IF(M364&gt;0,N364*100/M364,0)</f>
        <v>0</v>
      </c>
    </row>
    <row r="365" spans="1:16" ht="19.5" x14ac:dyDescent="0.3">
      <c r="A365" s="233"/>
      <c r="B365" s="234"/>
      <c r="C365" s="236"/>
      <c r="D365" s="396" t="s">
        <v>143</v>
      </c>
      <c r="E365" s="236"/>
      <c r="F365" s="236"/>
      <c r="G365" s="237"/>
      <c r="H365" s="245" t="s">
        <v>33</v>
      </c>
      <c r="I365" s="239">
        <f ca="1">I371</f>
        <v>69</v>
      </c>
      <c r="J365" s="239">
        <f ca="1">J371</f>
        <v>8</v>
      </c>
      <c r="K365" s="240">
        <f ca="1">IF(I365&gt;0,J365*100/I365,0)</f>
        <v>11.594202898550725</v>
      </c>
      <c r="L365" s="241"/>
      <c r="M365" s="241"/>
      <c r="N365" s="241"/>
      <c r="O365" s="241"/>
      <c r="P365" s="241"/>
    </row>
    <row r="366" spans="1:16" ht="19.5" x14ac:dyDescent="0.3">
      <c r="A366" s="148"/>
      <c r="B366" s="149"/>
      <c r="C366" s="197" t="s">
        <v>16</v>
      </c>
      <c r="D366" s="395" t="s">
        <v>36</v>
      </c>
      <c r="E366" s="151"/>
      <c r="F366" s="151"/>
      <c r="G366" s="152"/>
      <c r="H366" s="153"/>
      <c r="I366" s="45"/>
      <c r="J366" s="45"/>
      <c r="K366" s="46"/>
      <c r="L366" s="145"/>
      <c r="M366" s="145"/>
      <c r="N366" s="145"/>
      <c r="O366" s="145"/>
      <c r="P366" s="145"/>
    </row>
    <row r="367" spans="1:16" ht="18.75" x14ac:dyDescent="0.25">
      <c r="A367" s="148"/>
      <c r="B367" s="155"/>
      <c r="C367" s="149"/>
      <c r="D367" s="155"/>
      <c r="E367" s="154" t="s">
        <v>144</v>
      </c>
      <c r="F367" s="155"/>
      <c r="G367" s="153"/>
      <c r="H367" s="164" t="s">
        <v>33</v>
      </c>
      <c r="I367" s="169">
        <v>0</v>
      </c>
      <c r="J367" s="169">
        <f ca="1">IFERROR(__xludf.DUMMYFUNCTION("IMPORTRANGE(""https://docs.google.com/spreadsheets/d/1tdoBKaGub7dwA3U6UFTqxio9LNnvDCQjHKmttSEBsFQ/edit?usp=sharing"",""จัดที่ดิน!AB27"")"),1)</f>
        <v>1</v>
      </c>
      <c r="K367" s="47">
        <f>IF(I367&gt;0,J367*100/I367,0)</f>
        <v>0</v>
      </c>
      <c r="L367" s="145"/>
      <c r="M367" s="145"/>
      <c r="N367" s="145"/>
      <c r="O367" s="145"/>
      <c r="P367" s="145"/>
    </row>
    <row r="368" spans="1:16" ht="18.75" x14ac:dyDescent="0.25">
      <c r="A368" s="148"/>
      <c r="B368" s="155"/>
      <c r="C368" s="149"/>
      <c r="D368" s="155"/>
      <c r="E368" s="155"/>
      <c r="F368" s="155"/>
      <c r="G368" s="153"/>
      <c r="H368" s="164" t="s">
        <v>44</v>
      </c>
      <c r="I368" s="169">
        <f ca="1">IFERROR(__xludf.DUMMYFUNCTION("IMPORTRANGE(""https://docs.google.com/spreadsheets/d/1eHaY18a8A9IcSdp1K8H6x8fbOy06t2VsZHhMHf-1x7Y/edit?usp=sharing"",""แผน!EW27"")"),730)</f>
        <v>730</v>
      </c>
      <c r="J368" s="351">
        <f ca="1">IFERROR(__xludf.DUMMYFUNCTION("IMPORTRANGE(""https://docs.google.com/spreadsheets/d/1tdoBKaGub7dwA3U6UFTqxio9LNnvDCQjHKmttSEBsFQ/edit?usp=sharing"",""จัดที่ดิน!AC27"")"),2.67)</f>
        <v>2.67</v>
      </c>
      <c r="K368" s="47">
        <f ca="1">IF(I368&gt;0,J368*100/I368,0)</f>
        <v>0.36575342465753424</v>
      </c>
      <c r="L368" s="145"/>
      <c r="M368" s="145"/>
      <c r="N368" s="145"/>
      <c r="O368" s="145"/>
      <c r="P368" s="145"/>
    </row>
    <row r="369" spans="1:16" ht="18.75" x14ac:dyDescent="0.25">
      <c r="A369" s="148"/>
      <c r="B369" s="155"/>
      <c r="C369" s="149"/>
      <c r="D369" s="155"/>
      <c r="E369" s="154" t="s">
        <v>145</v>
      </c>
      <c r="F369" s="155"/>
      <c r="G369" s="153"/>
      <c r="H369" s="251" t="s">
        <v>33</v>
      </c>
      <c r="I369" s="169">
        <f ca="1">IFERROR(__xludf.DUMMYFUNCTION("IMPORTRANGE(""https://docs.google.com/spreadsheets/d/1eHaY18a8A9IcSdp1K8H6x8fbOy06t2VsZHhMHf-1x7Y/edit?usp=sharing"",""แผน!EX27"")"),110)</f>
        <v>110</v>
      </c>
      <c r="J369" s="169">
        <f ca="1">IFERROR(__xludf.DUMMYFUNCTION("IMPORTRANGE(""https://docs.google.com/spreadsheets/d/1tdoBKaGub7dwA3U6UFTqxio9LNnvDCQjHKmttSEBsFQ/edit?usp=sharing"",""จัดที่ดิน!AD27"")"),8)</f>
        <v>8</v>
      </c>
      <c r="K369" s="47">
        <f ca="1">IF(I369&gt;0,J369*100/I369,0)</f>
        <v>7.2727272727272725</v>
      </c>
      <c r="L369" s="145"/>
      <c r="M369" s="145"/>
      <c r="N369" s="145"/>
      <c r="O369" s="145"/>
      <c r="P369" s="145"/>
    </row>
    <row r="370" spans="1:16" ht="18.75" x14ac:dyDescent="0.25">
      <c r="A370" s="148"/>
      <c r="B370" s="155"/>
      <c r="C370" s="149"/>
      <c r="D370" s="155"/>
      <c r="E370" s="155"/>
      <c r="F370" s="155"/>
      <c r="G370" s="153"/>
      <c r="H370" s="251" t="s">
        <v>44</v>
      </c>
      <c r="I370" s="169">
        <v>0</v>
      </c>
      <c r="J370" s="351">
        <f ca="1">IFERROR(__xludf.DUMMYFUNCTION("IMPORTRANGE(""https://docs.google.com/spreadsheets/d/1tdoBKaGub7dwA3U6UFTqxio9LNnvDCQjHKmttSEBsFQ/edit?usp=sharing"",""จัดที่ดิน!AE27"")"),50.08)</f>
        <v>50.08</v>
      </c>
      <c r="K370" s="47">
        <f>IF(I370&gt;0,J370*100/I370,0)</f>
        <v>0</v>
      </c>
      <c r="L370" s="145"/>
      <c r="M370" s="145"/>
      <c r="N370" s="145"/>
      <c r="O370" s="145"/>
      <c r="P370" s="145"/>
    </row>
    <row r="371" spans="1:16" ht="18.75" x14ac:dyDescent="0.25">
      <c r="A371" s="148"/>
      <c r="B371" s="155"/>
      <c r="C371" s="149"/>
      <c r="D371" s="155"/>
      <c r="E371" s="154" t="s">
        <v>146</v>
      </c>
      <c r="F371" s="155"/>
      <c r="G371" s="153"/>
      <c r="H371" s="251" t="s">
        <v>33</v>
      </c>
      <c r="I371" s="169">
        <f ca="1">IFERROR(__xludf.DUMMYFUNCTION("IMPORTRANGE(""https://docs.google.com/spreadsheets/d/1eHaY18a8A9IcSdp1K8H6x8fbOy06t2VsZHhMHf-1x7Y/edit?usp=sharing"",""แผน!EY27"")"),69)</f>
        <v>69</v>
      </c>
      <c r="J371" s="169">
        <f ca="1">IFERROR(__xludf.DUMMYFUNCTION("IMPORTRANGE(""https://docs.google.com/spreadsheets/d/1tdoBKaGub7dwA3U6UFTqxio9LNnvDCQjHKmttSEBsFQ/edit?usp=sharing"",""จัดที่ดิน!AF27"")"),8)</f>
        <v>8</v>
      </c>
      <c r="K371" s="47">
        <f ca="1">IF(I371&gt;0,J371*100/I371,0)</f>
        <v>11.594202898550725</v>
      </c>
      <c r="L371" s="145"/>
      <c r="M371" s="145"/>
      <c r="N371" s="145"/>
      <c r="O371" s="145"/>
      <c r="P371" s="145"/>
    </row>
    <row r="372" spans="1:16" ht="18.75" x14ac:dyDescent="0.25">
      <c r="A372" s="148"/>
      <c r="B372" s="155"/>
      <c r="C372" s="149"/>
      <c r="D372" s="155"/>
      <c r="E372" s="155"/>
      <c r="F372" s="155"/>
      <c r="G372" s="153"/>
      <c r="H372" s="251" t="s">
        <v>44</v>
      </c>
      <c r="I372" s="169">
        <v>0</v>
      </c>
      <c r="J372" s="351">
        <f ca="1">IFERROR(__xludf.DUMMYFUNCTION("IMPORTRANGE(""https://docs.google.com/spreadsheets/d/1tdoBKaGub7dwA3U6UFTqxio9LNnvDCQjHKmttSEBsFQ/edit?usp=sharing"",""จัดที่ดิน!AG27"")"),50.08)</f>
        <v>50.08</v>
      </c>
      <c r="K372" s="47">
        <f>IF(I372&gt;0,J372*100/I372,0)</f>
        <v>0</v>
      </c>
      <c r="L372" s="145"/>
      <c r="M372" s="145"/>
      <c r="N372" s="145"/>
      <c r="O372" s="145"/>
      <c r="P372" s="145"/>
    </row>
    <row r="373" spans="1:16" ht="16.5" x14ac:dyDescent="0.25">
      <c r="A373" s="2"/>
      <c r="B373" s="1"/>
      <c r="C373" s="2"/>
      <c r="D373" s="352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4"/>
      <c r="H373" s="54"/>
      <c r="I373" s="56"/>
      <c r="J373" s="56"/>
      <c r="K373" s="57"/>
      <c r="L373" s="57"/>
      <c r="M373" s="57"/>
      <c r="N373" s="57"/>
      <c r="O373" s="57"/>
      <c r="P373" s="57"/>
    </row>
    <row r="374" spans="1:16" ht="19.5" hidden="1" x14ac:dyDescent="0.3">
      <c r="A374" s="353" t="s">
        <v>147</v>
      </c>
      <c r="B374" s="354"/>
      <c r="C374" s="354"/>
      <c r="D374" s="354"/>
      <c r="E374" s="355"/>
      <c r="F374" s="355"/>
      <c r="G374" s="355"/>
      <c r="H374" s="355"/>
      <c r="I374" s="356"/>
      <c r="J374" s="356"/>
      <c r="K374" s="357"/>
      <c r="L374" s="357"/>
      <c r="M374" s="357"/>
      <c r="N374" s="357"/>
      <c r="O374" s="357"/>
      <c r="P374" s="358"/>
    </row>
    <row r="375" spans="1:16" ht="19.5" hidden="1" x14ac:dyDescent="0.3">
      <c r="A375" s="359" t="s">
        <v>148</v>
      </c>
      <c r="B375" s="360"/>
      <c r="C375" s="360"/>
      <c r="D375" s="361"/>
      <c r="E375" s="360"/>
      <c r="F375" s="360"/>
      <c r="G375" s="360"/>
      <c r="H375" s="362"/>
      <c r="I375" s="363"/>
      <c r="J375" s="363"/>
      <c r="K375" s="364"/>
      <c r="L375" s="364"/>
      <c r="M375" s="364"/>
      <c r="N375" s="364"/>
      <c r="O375" s="364"/>
      <c r="P375" s="364"/>
    </row>
    <row r="376" spans="1:16" ht="19.5" hidden="1" x14ac:dyDescent="0.3">
      <c r="A376" s="365"/>
      <c r="B376" s="366" t="s">
        <v>149</v>
      </c>
      <c r="C376" s="367"/>
      <c r="D376" s="368"/>
      <c r="E376" s="368"/>
      <c r="F376" s="368"/>
      <c r="G376" s="369"/>
      <c r="H376" s="370" t="s">
        <v>54</v>
      </c>
      <c r="I376" s="371">
        <f>I388</f>
        <v>0</v>
      </c>
      <c r="J376" s="371">
        <f>J388</f>
        <v>0</v>
      </c>
      <c r="K376" s="372">
        <f>IF(I376&gt;0,J376*100/I376,0)</f>
        <v>0</v>
      </c>
      <c r="L376" s="373"/>
      <c r="M376" s="373"/>
      <c r="N376" s="373"/>
      <c r="O376" s="373"/>
      <c r="P376" s="373"/>
    </row>
    <row r="377" spans="1:16" ht="19.5" hidden="1" x14ac:dyDescent="0.3">
      <c r="A377" s="136"/>
      <c r="B377" s="41"/>
      <c r="C377" s="260" t="s">
        <v>16</v>
      </c>
      <c r="D377" s="261" t="s">
        <v>17</v>
      </c>
      <c r="E377" s="41"/>
      <c r="F377" s="41"/>
      <c r="G377" s="43"/>
      <c r="H377" s="277" t="s">
        <v>12</v>
      </c>
      <c r="I377" s="45"/>
      <c r="J377" s="45"/>
      <c r="K377" s="46"/>
      <c r="L377" s="263">
        <f ca="1">L378+L379</f>
        <v>0</v>
      </c>
      <c r="M377" s="263">
        <f ca="1">M378+M379</f>
        <v>0</v>
      </c>
      <c r="N377" s="263">
        <f ca="1">N378+N379</f>
        <v>0</v>
      </c>
      <c r="O377" s="263">
        <f ca="1">IF(L377&gt;0,N377*100/L377,0)</f>
        <v>0</v>
      </c>
      <c r="P377" s="263">
        <f ca="1">IF(M377&gt;0,N377*100/M377,0)</f>
        <v>0</v>
      </c>
    </row>
    <row r="378" spans="1:16" ht="18.75" hidden="1" x14ac:dyDescent="0.25">
      <c r="A378" s="136"/>
      <c r="B378" s="41"/>
      <c r="C378" s="41"/>
      <c r="D378" s="41"/>
      <c r="E378" s="279" t="s">
        <v>18</v>
      </c>
      <c r="F378" s="41"/>
      <c r="G378" s="43"/>
      <c r="H378" s="141" t="s">
        <v>12</v>
      </c>
      <c r="I378" s="45"/>
      <c r="J378" s="45"/>
      <c r="K378" s="46"/>
      <c r="L378" s="50">
        <f>L381+L384</f>
        <v>0</v>
      </c>
      <c r="M378" s="50">
        <f>M381+M384</f>
        <v>0</v>
      </c>
      <c r="N378" s="50">
        <f>N381+N384</f>
        <v>0</v>
      </c>
      <c r="O378" s="50">
        <f>IF(L378&gt;0,N378*100/L378,0)</f>
        <v>0</v>
      </c>
      <c r="P378" s="50">
        <f>IF(M378&gt;0,N378*100/M378,0)</f>
        <v>0</v>
      </c>
    </row>
    <row r="379" spans="1:16" ht="18.75" hidden="1" x14ac:dyDescent="0.25">
      <c r="A379" s="136"/>
      <c r="B379" s="41"/>
      <c r="C379" s="41"/>
      <c r="D379" s="41"/>
      <c r="E379" s="279" t="s">
        <v>19</v>
      </c>
      <c r="F379" s="41"/>
      <c r="G379" s="43"/>
      <c r="H379" s="141" t="s">
        <v>12</v>
      </c>
      <c r="I379" s="45"/>
      <c r="J379" s="45"/>
      <c r="K379" s="46"/>
      <c r="L379" s="50">
        <f ca="1">L382+L385</f>
        <v>0</v>
      </c>
      <c r="M379" s="50">
        <f ca="1">M382+M385</f>
        <v>0</v>
      </c>
      <c r="N379" s="50">
        <f ca="1">N382+N385</f>
        <v>0</v>
      </c>
      <c r="O379" s="50">
        <f ca="1">IF(L379&gt;0,N379*100/L379,0)</f>
        <v>0</v>
      </c>
      <c r="P379" s="50">
        <f ca="1">IF(M379&gt;0,N379*100/M379,0)</f>
        <v>0</v>
      </c>
    </row>
    <row r="380" spans="1:16" ht="18.75" hidden="1" x14ac:dyDescent="0.25">
      <c r="A380" s="136"/>
      <c r="B380" s="41"/>
      <c r="C380" s="41"/>
      <c r="D380" s="278" t="s">
        <v>20</v>
      </c>
      <c r="E380" s="41"/>
      <c r="F380" s="41"/>
      <c r="G380" s="43"/>
      <c r="H380" s="146" t="s">
        <v>12</v>
      </c>
      <c r="I380" s="144"/>
      <c r="J380" s="144"/>
      <c r="K380" s="145"/>
      <c r="L380" s="50">
        <f ca="1">L381+L382</f>
        <v>0</v>
      </c>
      <c r="M380" s="50">
        <f ca="1">M381+M382</f>
        <v>0</v>
      </c>
      <c r="N380" s="50">
        <f ca="1">N381+N382</f>
        <v>0</v>
      </c>
      <c r="O380" s="50">
        <f ca="1">IF(L380&gt;0,N380*100/L380,0)</f>
        <v>0</v>
      </c>
      <c r="P380" s="50">
        <f ca="1">IF(M380&gt;0,N380*100/M380,0)</f>
        <v>0</v>
      </c>
    </row>
    <row r="381" spans="1:16" ht="18.75" hidden="1" x14ac:dyDescent="0.25">
      <c r="A381" s="136"/>
      <c r="B381" s="41"/>
      <c r="C381" s="41"/>
      <c r="D381" s="41"/>
      <c r="E381" s="279" t="s">
        <v>34</v>
      </c>
      <c r="F381" s="41"/>
      <c r="G381" s="43"/>
      <c r="H381" s="146" t="s">
        <v>12</v>
      </c>
      <c r="I381" s="144"/>
      <c r="J381" s="144"/>
      <c r="K381" s="145"/>
      <c r="L381" s="50">
        <v>0</v>
      </c>
      <c r="M381" s="50">
        <v>0</v>
      </c>
      <c r="N381" s="50">
        <v>0</v>
      </c>
      <c r="O381" s="50">
        <f>IF(L381&gt;0,N381*100/L381,0)</f>
        <v>0</v>
      </c>
      <c r="P381" s="50">
        <f>IF(M381&gt;0,N381*100/M381,0)</f>
        <v>0</v>
      </c>
    </row>
    <row r="382" spans="1:16" ht="18.75" hidden="1" x14ac:dyDescent="0.25">
      <c r="A382" s="136"/>
      <c r="B382" s="41"/>
      <c r="C382" s="41"/>
      <c r="D382" s="41"/>
      <c r="E382" s="279" t="s">
        <v>35</v>
      </c>
      <c r="F382" s="41"/>
      <c r="G382" s="43"/>
      <c r="H382" s="146" t="s">
        <v>12</v>
      </c>
      <c r="I382" s="144"/>
      <c r="J382" s="144"/>
      <c r="K382" s="145"/>
      <c r="L382" s="50">
        <f ca="1">IFERROR(__xludf.DUMMYFUNCTION("IMPORTRANGE(""https://docs.google.com/spreadsheets/d/1-uDff_7J0KD5mKrp0Vvzr7lt3OU09vwQwhkpOPPYv2Y/edit?usp=sharing"",""งบพรบ!FM27"")"),0)</f>
        <v>0</v>
      </c>
      <c r="M382" s="50">
        <f ca="1">IFERROR(__xludf.DUMMYFUNCTION("IMPORTRANGE(""https://docs.google.com/spreadsheets/d/1-uDff_7J0KD5mKrp0Vvzr7lt3OU09vwQwhkpOPPYv2Y/edit?usp=sharing"",""งบพรบ!FR27"")"),0)</f>
        <v>0</v>
      </c>
      <c r="N382" s="50">
        <f ca="1">IFERROR(__xludf.DUMMYFUNCTION("IMPORTRANGE(""https://docs.google.com/spreadsheets/d/1-uDff_7J0KD5mKrp0Vvzr7lt3OU09vwQwhkpOPPYv2Y/edit?usp=sharing"",""งบพรบ!FT27"")"),0)</f>
        <v>0</v>
      </c>
      <c r="O382" s="50">
        <f ca="1">IF(L382&gt;0,N382*100/L382,0)</f>
        <v>0</v>
      </c>
      <c r="P382" s="50">
        <f ca="1">IF(M382&gt;0,N382*100/M382,0)</f>
        <v>0</v>
      </c>
    </row>
    <row r="383" spans="1:16" ht="18.75" hidden="1" x14ac:dyDescent="0.25">
      <c r="A383" s="136"/>
      <c r="B383" s="41"/>
      <c r="C383" s="41"/>
      <c r="D383" s="278" t="s">
        <v>21</v>
      </c>
      <c r="E383" s="41"/>
      <c r="F383" s="41"/>
      <c r="G383" s="43"/>
      <c r="H383" s="199" t="s">
        <v>12</v>
      </c>
      <c r="I383" s="144"/>
      <c r="J383" s="144"/>
      <c r="K383" s="145"/>
      <c r="L383" s="50">
        <f ca="1">L384+L385</f>
        <v>0</v>
      </c>
      <c r="M383" s="50">
        <f ca="1">M384+M385</f>
        <v>0</v>
      </c>
      <c r="N383" s="50">
        <f ca="1">N384+N385</f>
        <v>0</v>
      </c>
      <c r="O383" s="50">
        <f ca="1">IF(L383&gt;0,N383*100/L383,0)</f>
        <v>0</v>
      </c>
      <c r="P383" s="50">
        <f ca="1">IF(M383&gt;0,N383*100/M383,0)</f>
        <v>0</v>
      </c>
    </row>
    <row r="384" spans="1:16" ht="18.75" hidden="1" x14ac:dyDescent="0.25">
      <c r="A384" s="136"/>
      <c r="B384" s="41"/>
      <c r="C384" s="41"/>
      <c r="D384" s="41"/>
      <c r="E384" s="279" t="s">
        <v>18</v>
      </c>
      <c r="F384" s="41"/>
      <c r="G384" s="43"/>
      <c r="H384" s="146" t="s">
        <v>12</v>
      </c>
      <c r="I384" s="144"/>
      <c r="J384" s="144"/>
      <c r="K384" s="145"/>
      <c r="L384" s="50">
        <v>0</v>
      </c>
      <c r="M384" s="50">
        <v>0</v>
      </c>
      <c r="N384" s="50">
        <v>0</v>
      </c>
      <c r="O384" s="50">
        <f>IF(L384&gt;0,N384*100/L384,0)</f>
        <v>0</v>
      </c>
      <c r="P384" s="50">
        <f>IF(M384&gt;0,N384*100/M384,0)</f>
        <v>0</v>
      </c>
    </row>
    <row r="385" spans="1:16" ht="18.75" hidden="1" x14ac:dyDescent="0.25">
      <c r="A385" s="136"/>
      <c r="B385" s="41"/>
      <c r="C385" s="41"/>
      <c r="D385" s="41"/>
      <c r="E385" s="279" t="s">
        <v>19</v>
      </c>
      <c r="F385" s="41"/>
      <c r="G385" s="43"/>
      <c r="H385" s="199" t="s">
        <v>12</v>
      </c>
      <c r="I385" s="144"/>
      <c r="J385" s="144"/>
      <c r="K385" s="145"/>
      <c r="L385" s="50">
        <f ca="1">IFERROR(__xludf.DUMMYFUNCTION("IMPORTRANGE(""https://docs.google.com/spreadsheets/d/1-uDff_7J0KD5mKrp0Vvzr7lt3OU09vwQwhkpOPPYv2Y/edit?usp=sharing"",""งบพรบ!FP27"")"),0)</f>
        <v>0</v>
      </c>
      <c r="M385" s="50">
        <f ca="1">IFERROR(__xludf.DUMMYFUNCTION("IMPORTRANGE(""https://docs.google.com/spreadsheets/d/1-uDff_7J0KD5mKrp0Vvzr7lt3OU09vwQwhkpOPPYv2Y/edit?usp=sharing"",""งบพรบ!FS27"")"),0)</f>
        <v>0</v>
      </c>
      <c r="N385" s="50">
        <f ca="1">IFERROR(__xludf.DUMMYFUNCTION("IMPORTRANGE(""https://docs.google.com/spreadsheets/d/1-uDff_7J0KD5mKrp0Vvzr7lt3OU09vwQwhkpOPPYv2Y/edit?usp=sharing"",""งบพรบ!FU27"")"),0)</f>
        <v>0</v>
      </c>
      <c r="O385" s="50">
        <f ca="1">IF(L385&gt;0,N385*100/L385,0)</f>
        <v>0</v>
      </c>
      <c r="P385" s="50">
        <f ca="1">IF(M385&gt;0,N385*100/M385,0)</f>
        <v>0</v>
      </c>
    </row>
    <row r="386" spans="1:16" ht="19.5" hidden="1" x14ac:dyDescent="0.3">
      <c r="A386" s="148"/>
      <c r="B386" s="149"/>
      <c r="C386" s="260" t="s">
        <v>16</v>
      </c>
      <c r="D386" s="394" t="s">
        <v>36</v>
      </c>
      <c r="E386" s="151"/>
      <c r="F386" s="151"/>
      <c r="G386" s="152"/>
      <c r="H386" s="153"/>
      <c r="I386" s="144"/>
      <c r="J386" s="45"/>
      <c r="K386" s="46"/>
      <c r="L386" s="46"/>
      <c r="M386" s="46"/>
      <c r="N386" s="46"/>
      <c r="O386" s="145"/>
      <c r="P386" s="145"/>
    </row>
    <row r="387" spans="1:16" ht="18.75" hidden="1" x14ac:dyDescent="0.25">
      <c r="A387" s="227"/>
      <c r="B387" s="41"/>
      <c r="C387" s="228"/>
      <c r="D387" s="267" t="s">
        <v>150</v>
      </c>
      <c r="E387" s="149"/>
      <c r="F387" s="41"/>
      <c r="G387" s="43"/>
      <c r="H387" s="232" t="s">
        <v>9</v>
      </c>
      <c r="I387" s="200">
        <v>0</v>
      </c>
      <c r="J387" s="201">
        <v>0</v>
      </c>
      <c r="K387" s="50">
        <f>IF(I387&gt;0,J387*100/I387,0)</f>
        <v>0</v>
      </c>
      <c r="L387" s="46"/>
      <c r="M387" s="46"/>
      <c r="N387" s="46"/>
      <c r="O387" s="46"/>
      <c r="P387" s="46"/>
    </row>
    <row r="388" spans="1:16" ht="18.75" hidden="1" x14ac:dyDescent="0.25">
      <c r="A388" s="374"/>
      <c r="B388" s="1"/>
      <c r="C388" s="2"/>
      <c r="D388" s="375" t="s">
        <v>151</v>
      </c>
      <c r="E388" s="281"/>
      <c r="F388" s="1"/>
      <c r="G388" s="54"/>
      <c r="H388" s="376" t="s">
        <v>54</v>
      </c>
      <c r="I388" s="205">
        <v>0</v>
      </c>
      <c r="J388" s="206">
        <v>0</v>
      </c>
      <c r="K388" s="207">
        <f>IF(I388&gt;0,J388*100/I388,0)</f>
        <v>0</v>
      </c>
      <c r="L388" s="57"/>
      <c r="M388" s="57"/>
      <c r="N388" s="57"/>
      <c r="O388" s="57"/>
      <c r="P388" s="57"/>
    </row>
    <row r="389" spans="1:16" ht="12.75" x14ac:dyDescent="0.2">
      <c r="A389" s="168"/>
      <c r="B389" s="168"/>
      <c r="C389" s="168"/>
      <c r="D389" s="168"/>
      <c r="E389" s="168"/>
      <c r="F389" s="168"/>
      <c r="G389" s="168"/>
      <c r="H389" s="168"/>
      <c r="I389" s="168"/>
      <c r="J389" s="168"/>
      <c r="K389" s="168"/>
      <c r="L389" s="168"/>
      <c r="M389" s="168"/>
      <c r="N389" s="168"/>
      <c r="O389" s="168"/>
      <c r="P389" s="168"/>
    </row>
    <row r="390" spans="1:16" ht="16.5" x14ac:dyDescent="0.25">
      <c r="A390" s="377" t="s">
        <v>152</v>
      </c>
      <c r="B390" s="168"/>
      <c r="C390" s="168"/>
      <c r="D390" s="168"/>
      <c r="E390" s="168"/>
      <c r="F390" s="168"/>
      <c r="G390" s="168"/>
      <c r="H390" s="168"/>
      <c r="I390" s="168"/>
      <c r="J390" s="168"/>
      <c r="K390" s="168"/>
      <c r="L390" s="168"/>
      <c r="M390" s="168"/>
      <c r="N390" s="168"/>
      <c r="O390" s="168"/>
      <c r="P390" s="168"/>
    </row>
    <row r="391" spans="1:16" ht="16.5" x14ac:dyDescent="0.25">
      <c r="A391" s="377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8"/>
      <c r="C391" s="168"/>
      <c r="D391" s="168"/>
      <c r="E391" s="168"/>
      <c r="F391" s="168"/>
      <c r="G391" s="168"/>
      <c r="H391" s="168"/>
      <c r="I391" s="168"/>
      <c r="J391" s="168"/>
      <c r="K391" s="168"/>
      <c r="L391" s="168"/>
      <c r="M391" s="168"/>
      <c r="N391" s="168"/>
      <c r="O391" s="168"/>
      <c r="P391" s="16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2" orientation="portrait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91D01-592F-475A-B3A4-AC0C747C487C}">
  <sheetPr>
    <outlinePr summaryBelow="0" summaryRight="0"/>
  </sheetPr>
  <dimension ref="A1:P391"/>
  <sheetViews>
    <sheetView view="pageBreakPreview" zoomScale="60" zoomScaleNormal="68" workbookViewId="0">
      <pane xSplit="8" ySplit="6" topLeftCell="I7" activePane="bottomRight" state="frozen"/>
      <selection activeCell="P44" sqref="P44"/>
      <selection pane="topRight" activeCell="P44" sqref="P44"/>
      <selection pane="bottomLeft" activeCell="P44" sqref="P44"/>
      <selection pane="bottomRight" activeCell="P44" sqref="P4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3" width="21.5703125" bestFit="1" customWidth="1"/>
    <col min="14" max="14" width="19" bestFit="1" customWidth="1"/>
    <col min="15" max="15" width="17.5703125" customWidth="1"/>
    <col min="16" max="16" width="22.42578125" bestFit="1" customWidth="1"/>
  </cols>
  <sheetData>
    <row r="1" spans="1:16" ht="19.5" x14ac:dyDescent="0.3">
      <c r="A1" s="386" t="s">
        <v>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</row>
    <row r="2" spans="1:16" ht="19.5" x14ac:dyDescent="0.3">
      <c r="A2" s="386" t="s">
        <v>172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</row>
    <row r="3" spans="1:16" ht="19.5" x14ac:dyDescent="0.3">
      <c r="A3" s="386" t="s">
        <v>175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388" t="s">
        <v>2</v>
      </c>
      <c r="B5" s="387"/>
      <c r="C5" s="387"/>
      <c r="D5" s="387"/>
      <c r="E5" s="387"/>
      <c r="F5" s="387"/>
      <c r="G5" s="389"/>
      <c r="H5" s="4" t="s">
        <v>3</v>
      </c>
      <c r="I5" s="391" t="s">
        <v>4</v>
      </c>
      <c r="J5" s="379"/>
      <c r="K5" s="380"/>
      <c r="L5" s="392" t="s">
        <v>5</v>
      </c>
      <c r="M5" s="380"/>
      <c r="N5" s="393" t="s">
        <v>6</v>
      </c>
      <c r="O5" s="379"/>
      <c r="P5" s="380"/>
    </row>
    <row r="6" spans="1:16" ht="19.5" x14ac:dyDescent="0.3">
      <c r="A6" s="390"/>
      <c r="B6" s="379"/>
      <c r="C6" s="379"/>
      <c r="D6" s="379"/>
      <c r="E6" s="379"/>
      <c r="F6" s="379"/>
      <c r="G6" s="380"/>
      <c r="H6" s="5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466" t="s">
        <v>14</v>
      </c>
    </row>
    <row r="7" spans="1:16" ht="12.75" hidden="1" x14ac:dyDescent="0.2">
      <c r="A7" s="381"/>
      <c r="B7" s="379"/>
      <c r="C7" s="379"/>
      <c r="D7" s="379"/>
      <c r="E7" s="379"/>
      <c r="F7" s="379"/>
      <c r="G7" s="380"/>
      <c r="H7" s="12"/>
      <c r="I7" s="13"/>
      <c r="J7" s="13"/>
      <c r="K7" s="14"/>
      <c r="L7" s="14"/>
      <c r="M7" s="14"/>
      <c r="N7" s="14"/>
      <c r="O7" s="14"/>
      <c r="P7" s="14"/>
    </row>
    <row r="8" spans="1:16" ht="12.75" hidden="1" x14ac:dyDescent="0.2">
      <c r="A8" s="15"/>
      <c r="B8" s="16"/>
      <c r="C8" s="16"/>
      <c r="D8" s="16"/>
      <c r="E8" s="16"/>
      <c r="F8" s="16"/>
      <c r="G8" s="17"/>
      <c r="H8" s="17"/>
      <c r="I8" s="18"/>
      <c r="J8" s="18"/>
      <c r="K8" s="19"/>
      <c r="L8" s="19"/>
      <c r="M8" s="19"/>
      <c r="N8" s="19"/>
      <c r="O8" s="19"/>
      <c r="P8" s="19"/>
    </row>
    <row r="9" spans="1:16" ht="12.75" hidden="1" x14ac:dyDescent="0.2">
      <c r="A9" s="15"/>
      <c r="B9" s="16"/>
      <c r="C9" s="16"/>
      <c r="D9" s="16"/>
      <c r="E9" s="16"/>
      <c r="F9" s="16"/>
      <c r="G9" s="17"/>
      <c r="H9" s="17"/>
      <c r="I9" s="18"/>
      <c r="J9" s="18"/>
      <c r="K9" s="19"/>
      <c r="L9" s="19"/>
      <c r="M9" s="19"/>
      <c r="N9" s="19"/>
      <c r="O9" s="19"/>
      <c r="P9" s="19"/>
    </row>
    <row r="10" spans="1:16" ht="12.75" hidden="1" x14ac:dyDescent="0.2">
      <c r="A10" s="15"/>
      <c r="B10" s="16"/>
      <c r="C10" s="16"/>
      <c r="D10" s="16"/>
      <c r="E10" s="16"/>
      <c r="F10" s="16"/>
      <c r="G10" s="17"/>
      <c r="H10" s="17"/>
      <c r="I10" s="18"/>
      <c r="J10" s="18"/>
      <c r="K10" s="19"/>
      <c r="L10" s="19"/>
      <c r="M10" s="19"/>
      <c r="N10" s="19"/>
      <c r="O10" s="19"/>
      <c r="P10" s="19"/>
    </row>
    <row r="11" spans="1:16" ht="12.75" hidden="1" x14ac:dyDescent="0.2">
      <c r="A11" s="15"/>
      <c r="B11" s="16"/>
      <c r="C11" s="16"/>
      <c r="D11" s="16"/>
      <c r="E11" s="16"/>
      <c r="F11" s="16"/>
      <c r="G11" s="17"/>
      <c r="H11" s="17"/>
      <c r="I11" s="18"/>
      <c r="J11" s="18"/>
      <c r="K11" s="19"/>
      <c r="L11" s="19"/>
      <c r="M11" s="19"/>
      <c r="N11" s="19"/>
      <c r="O11" s="19"/>
      <c r="P11" s="19"/>
    </row>
    <row r="12" spans="1:16" ht="12.75" hidden="1" x14ac:dyDescent="0.2">
      <c r="A12" s="15"/>
      <c r="B12" s="16"/>
      <c r="C12" s="16"/>
      <c r="D12" s="16"/>
      <c r="E12" s="16"/>
      <c r="F12" s="16"/>
      <c r="G12" s="17"/>
      <c r="H12" s="17"/>
      <c r="I12" s="18"/>
      <c r="J12" s="18"/>
      <c r="K12" s="19"/>
      <c r="L12" s="19"/>
      <c r="M12" s="19"/>
      <c r="N12" s="19"/>
      <c r="O12" s="19"/>
      <c r="P12" s="19"/>
    </row>
    <row r="13" spans="1:16" ht="12.75" hidden="1" x14ac:dyDescent="0.2">
      <c r="A13" s="15"/>
      <c r="B13" s="16"/>
      <c r="C13" s="16"/>
      <c r="D13" s="16"/>
      <c r="E13" s="16"/>
      <c r="F13" s="16"/>
      <c r="G13" s="17"/>
      <c r="H13" s="17"/>
      <c r="I13" s="18"/>
      <c r="J13" s="18"/>
      <c r="K13" s="19"/>
      <c r="L13" s="19"/>
      <c r="M13" s="19"/>
      <c r="N13" s="19"/>
      <c r="O13" s="19"/>
      <c r="P13" s="19"/>
    </row>
    <row r="14" spans="1:16" ht="12.75" hidden="1" x14ac:dyDescent="0.2">
      <c r="A14" s="15"/>
      <c r="B14" s="16"/>
      <c r="C14" s="16"/>
      <c r="D14" s="16"/>
      <c r="E14" s="16"/>
      <c r="F14" s="16"/>
      <c r="G14" s="17"/>
      <c r="H14" s="17"/>
      <c r="I14" s="18"/>
      <c r="J14" s="18"/>
      <c r="K14" s="19"/>
      <c r="L14" s="19"/>
      <c r="M14" s="19"/>
      <c r="N14" s="19"/>
      <c r="O14" s="19"/>
      <c r="P14" s="19"/>
    </row>
    <row r="15" spans="1:16" ht="12.75" hidden="1" x14ac:dyDescent="0.2">
      <c r="A15" s="15"/>
      <c r="B15" s="16"/>
      <c r="C15" s="16"/>
      <c r="D15" s="16"/>
      <c r="E15" s="16"/>
      <c r="F15" s="16"/>
      <c r="G15" s="17"/>
      <c r="H15" s="17"/>
      <c r="I15" s="18"/>
      <c r="J15" s="18"/>
      <c r="K15" s="19"/>
      <c r="L15" s="19"/>
      <c r="M15" s="19"/>
      <c r="N15" s="19"/>
      <c r="O15" s="19"/>
      <c r="P15" s="19"/>
    </row>
    <row r="16" spans="1:16" ht="12.75" hidden="1" x14ac:dyDescent="0.2">
      <c r="A16" s="20"/>
      <c r="B16" s="21"/>
      <c r="C16" s="21"/>
      <c r="D16" s="21"/>
      <c r="E16" s="21"/>
      <c r="F16" s="21"/>
      <c r="G16" s="12"/>
      <c r="H16" s="12"/>
      <c r="I16" s="13"/>
      <c r="J16" s="13"/>
      <c r="K16" s="14"/>
      <c r="L16" s="14"/>
      <c r="M16" s="14"/>
      <c r="N16" s="14"/>
      <c r="O16" s="14"/>
      <c r="P16" s="14"/>
    </row>
    <row r="17" spans="1:16" ht="19.5" x14ac:dyDescent="0.3">
      <c r="A17" s="378" t="s">
        <v>15</v>
      </c>
      <c r="B17" s="379"/>
      <c r="C17" s="379"/>
      <c r="D17" s="379"/>
      <c r="E17" s="379"/>
      <c r="F17" s="379"/>
      <c r="G17" s="380"/>
      <c r="H17" s="22"/>
      <c r="I17" s="23"/>
      <c r="J17" s="23"/>
      <c r="K17" s="24"/>
      <c r="L17" s="24"/>
      <c r="M17" s="24"/>
      <c r="N17" s="24"/>
      <c r="O17" s="24"/>
      <c r="P17" s="24"/>
    </row>
    <row r="18" spans="1:16" ht="19.5" x14ac:dyDescent="0.3">
      <c r="A18" s="25"/>
      <c r="B18" s="26"/>
      <c r="C18" s="132" t="s">
        <v>16</v>
      </c>
      <c r="D18" s="28" t="s">
        <v>17</v>
      </c>
      <c r="E18" s="26"/>
      <c r="F18" s="26"/>
      <c r="G18" s="29"/>
      <c r="H18" s="30" t="s">
        <v>12</v>
      </c>
      <c r="I18" s="31"/>
      <c r="J18" s="31"/>
      <c r="K18" s="32"/>
      <c r="L18" s="33">
        <f ca="1">L19+L20</f>
        <v>1947605</v>
      </c>
      <c r="M18" s="33">
        <f ca="1">M19+M20</f>
        <v>1586765</v>
      </c>
      <c r="N18" s="33">
        <f ca="1">N19+N20</f>
        <v>398040.99</v>
      </c>
      <c r="O18" s="33">
        <f ca="1">IF(L18&gt;0,N18*100/L18,0)</f>
        <v>20.437459854539291</v>
      </c>
      <c r="P18" s="33">
        <f ca="1">IF(M18&gt;0,N18*100/M18,0)</f>
        <v>25.085062375335983</v>
      </c>
    </row>
    <row r="19" spans="1:16" ht="18.75" hidden="1" x14ac:dyDescent="0.25">
      <c r="A19" s="25"/>
      <c r="B19" s="26"/>
      <c r="C19" s="26"/>
      <c r="D19" s="26"/>
      <c r="E19" s="34" t="s">
        <v>18</v>
      </c>
      <c r="F19" s="26"/>
      <c r="G19" s="29"/>
      <c r="H19" s="35" t="s">
        <v>12</v>
      </c>
      <c r="I19" s="31"/>
      <c r="J19" s="31"/>
      <c r="K19" s="32"/>
      <c r="L19" s="36">
        <f>L22+L25</f>
        <v>0</v>
      </c>
      <c r="M19" s="36">
        <f>M22+M25</f>
        <v>0</v>
      </c>
      <c r="N19" s="36">
        <f>N22+N25</f>
        <v>0</v>
      </c>
      <c r="O19" s="36">
        <f>IF(L19&gt;0,N19*100/L19,0)</f>
        <v>0</v>
      </c>
      <c r="P19" s="36">
        <f>IF(M19&gt;0,N19*100/M19,0)</f>
        <v>0</v>
      </c>
    </row>
    <row r="20" spans="1:16" ht="18.75" x14ac:dyDescent="0.25">
      <c r="A20" s="25"/>
      <c r="B20" s="26"/>
      <c r="C20" s="26"/>
      <c r="D20" s="26"/>
      <c r="E20" s="37" t="s">
        <v>19</v>
      </c>
      <c r="F20" s="26"/>
      <c r="G20" s="29"/>
      <c r="H20" s="38" t="s">
        <v>12</v>
      </c>
      <c r="I20" s="31"/>
      <c r="J20" s="31"/>
      <c r="K20" s="32"/>
      <c r="L20" s="39">
        <f ca="1">L23+L26</f>
        <v>1947605</v>
      </c>
      <c r="M20" s="39">
        <f ca="1">M23+M26</f>
        <v>1586765</v>
      </c>
      <c r="N20" s="39">
        <f ca="1">N23+N26</f>
        <v>398040.99</v>
      </c>
      <c r="O20" s="39">
        <f ca="1">IF(L20&gt;0,N20*100/L20,0)</f>
        <v>20.437459854539291</v>
      </c>
      <c r="P20" s="39">
        <f ca="1">IF(M20&gt;0,N20*100/M20,0)</f>
        <v>25.085062375335983</v>
      </c>
    </row>
    <row r="21" spans="1:16" ht="18.75" x14ac:dyDescent="0.25">
      <c r="A21" s="40"/>
      <c r="B21" s="41"/>
      <c r="C21" s="41"/>
      <c r="D21" s="42" t="s">
        <v>20</v>
      </c>
      <c r="E21" s="41"/>
      <c r="F21" s="41"/>
      <c r="G21" s="43"/>
      <c r="H21" s="44" t="s">
        <v>12</v>
      </c>
      <c r="I21" s="45"/>
      <c r="J21" s="45"/>
      <c r="K21" s="46"/>
      <c r="L21" s="47">
        <f ca="1">L22+L23</f>
        <v>1947605</v>
      </c>
      <c r="M21" s="47">
        <f ca="1">M22+M23</f>
        <v>1586765</v>
      </c>
      <c r="N21" s="47">
        <f ca="1">N22+N23</f>
        <v>398040.99</v>
      </c>
      <c r="O21" s="47">
        <f ca="1">IF(L21&gt;0,N21*100/L21,0)</f>
        <v>20.437459854539291</v>
      </c>
      <c r="P21" s="47">
        <f ca="1">IF(M21&gt;0,N21*100/M21,0)</f>
        <v>25.085062375335983</v>
      </c>
    </row>
    <row r="22" spans="1:16" ht="18.75" hidden="1" x14ac:dyDescent="0.25">
      <c r="A22" s="40"/>
      <c r="B22" s="41"/>
      <c r="C22" s="41"/>
      <c r="D22" s="41"/>
      <c r="E22" s="279" t="s">
        <v>18</v>
      </c>
      <c r="F22" s="41"/>
      <c r="G22" s="43"/>
      <c r="H22" s="49" t="s">
        <v>12</v>
      </c>
      <c r="I22" s="45"/>
      <c r="J22" s="45"/>
      <c r="K22" s="46"/>
      <c r="L22" s="50">
        <f>L48+L63+L76+L98+L129+L143+L161+L190+L177+L270+L286+L307+L324+L337+L360+L381</f>
        <v>0</v>
      </c>
      <c r="M22" s="50">
        <f>M48+M63+M76+M98+M129+M143+M161+M190+M177+M270+M286+M307+M324+M337+M360+M381</f>
        <v>0</v>
      </c>
      <c r="N22" s="50">
        <f>N48+N63+N76+N98+N129+N143+N161+N190+N177+N270+N286+N307+N324+N337+N360+N381</f>
        <v>0</v>
      </c>
      <c r="O22" s="50">
        <f>IF(L22&gt;0,N22*100/L22,0)</f>
        <v>0</v>
      </c>
      <c r="P22" s="50">
        <f>IF(M22&gt;0,N22*100/M22,0)</f>
        <v>0</v>
      </c>
    </row>
    <row r="23" spans="1:16" ht="18.75" x14ac:dyDescent="0.25">
      <c r="A23" s="40"/>
      <c r="B23" s="41"/>
      <c r="C23" s="41"/>
      <c r="D23" s="41"/>
      <c r="E23" s="254" t="s">
        <v>19</v>
      </c>
      <c r="F23" s="41"/>
      <c r="G23" s="43"/>
      <c r="H23" s="44" t="s">
        <v>12</v>
      </c>
      <c r="I23" s="45"/>
      <c r="J23" s="45"/>
      <c r="K23" s="46"/>
      <c r="L23" s="47">
        <f ca="1">L49+L64+L77+L99+L130+L144+L162+L191+L178+L271+L287+L308+L325+L338+L361+L382</f>
        <v>1947605</v>
      </c>
      <c r="M23" s="47">
        <f ca="1">M49+M64+M77+M99+M130+M144+M162+M191+M178+M271+M287+M308+M325+M338+M361+M382</f>
        <v>1586765</v>
      </c>
      <c r="N23" s="47">
        <f ca="1">N49+N64+N77+N99+N130+N144+N162+N191+N178+N271+N287+N308+N325+N338+N361+N382</f>
        <v>398040.99</v>
      </c>
      <c r="O23" s="47">
        <f ca="1">IF(L23&gt;0,N23*100/L23,0)</f>
        <v>20.437459854539291</v>
      </c>
      <c r="P23" s="47">
        <f ca="1">IF(M23&gt;0,N23*100/M23,0)</f>
        <v>25.085062375335983</v>
      </c>
    </row>
    <row r="24" spans="1:16" ht="18.75" x14ac:dyDescent="0.25">
      <c r="A24" s="40"/>
      <c r="B24" s="41"/>
      <c r="C24" s="41"/>
      <c r="D24" s="42" t="s">
        <v>21</v>
      </c>
      <c r="E24" s="41"/>
      <c r="F24" s="41"/>
      <c r="G24" s="43"/>
      <c r="H24" s="44" t="s">
        <v>12</v>
      </c>
      <c r="I24" s="45"/>
      <c r="J24" s="45"/>
      <c r="K24" s="46"/>
      <c r="L24" s="47">
        <f ca="1">L25+L26</f>
        <v>0</v>
      </c>
      <c r="M24" s="47">
        <f ca="1">M25+M26</f>
        <v>0</v>
      </c>
      <c r="N24" s="47">
        <f ca="1">N25+N26</f>
        <v>0</v>
      </c>
      <c r="O24" s="47">
        <f ca="1">IF(L24&gt;0,N24*100/L24,0)</f>
        <v>0</v>
      </c>
      <c r="P24" s="47">
        <f ca="1">IF(M24&gt;0,N24*100/M24,0)</f>
        <v>0</v>
      </c>
    </row>
    <row r="25" spans="1:16" ht="18.75" hidden="1" x14ac:dyDescent="0.25">
      <c r="A25" s="40"/>
      <c r="B25" s="41"/>
      <c r="C25" s="41"/>
      <c r="D25" s="41"/>
      <c r="E25" s="279" t="s">
        <v>18</v>
      </c>
      <c r="F25" s="41"/>
      <c r="G25" s="43"/>
      <c r="H25" s="49" t="s">
        <v>12</v>
      </c>
      <c r="I25" s="45"/>
      <c r="J25" s="45"/>
      <c r="K25" s="46"/>
      <c r="L25" s="50">
        <f>L51+L66+L79+L101+L132+L146+L164+L193+L180+L273+L289+L310+L327+L340+L363+L384</f>
        <v>0</v>
      </c>
      <c r="M25" s="50">
        <f>M51+M66+M79+M101+M132+M146+M164+M193+M180+M273+M289+M310+M327+M340+M363+M384</f>
        <v>0</v>
      </c>
      <c r="N25" s="50">
        <f>N51+N66+N79+N101+N132+N146+N164+N193+N180+N273+N289+N310+N327+N340+N363+N384</f>
        <v>0</v>
      </c>
      <c r="O25" s="50">
        <f>IF(L25&gt;0,N25*100/L25,0)</f>
        <v>0</v>
      </c>
      <c r="P25" s="50">
        <f>IF(M25&gt;0,N25*100/M25,0)</f>
        <v>0</v>
      </c>
    </row>
    <row r="26" spans="1:16" ht="18.75" x14ac:dyDescent="0.25">
      <c r="A26" s="40"/>
      <c r="B26" s="41"/>
      <c r="C26" s="41"/>
      <c r="D26" s="41"/>
      <c r="E26" s="254" t="s">
        <v>19</v>
      </c>
      <c r="F26" s="41"/>
      <c r="G26" s="43"/>
      <c r="H26" s="44" t="s">
        <v>12</v>
      </c>
      <c r="I26" s="45"/>
      <c r="J26" s="45"/>
      <c r="K26" s="46"/>
      <c r="L26" s="47">
        <f ca="1">L52+L67+L80+L102+L133+L147+L165+L194+L181+L274+L290+L311+L328+L341+L364+L385</f>
        <v>0</v>
      </c>
      <c r="M26" s="47">
        <f ca="1">M52+M67+M80+M102+M133+M147+M165+M194+M181+M274+M290+M311+M328+M341+M364+M385</f>
        <v>0</v>
      </c>
      <c r="N26" s="47">
        <f ca="1">N52+N67+N80+N102+N133+N147+N165+N194+N181+N274+N290+N311+N328+N341+N364+N385</f>
        <v>0</v>
      </c>
      <c r="O26" s="47">
        <f ca="1">IF(L26&gt;0,N26*100/L26,0)</f>
        <v>0</v>
      </c>
      <c r="P26" s="47">
        <f ca="1">IF(M26&gt;0,N26*100/M26,0)</f>
        <v>0</v>
      </c>
    </row>
    <row r="27" spans="1:16" ht="18.75" hidden="1" x14ac:dyDescent="0.25">
      <c r="A27" s="40"/>
      <c r="B27" s="41"/>
      <c r="C27" s="41"/>
      <c r="D27" s="42" t="s">
        <v>22</v>
      </c>
      <c r="E27" s="41"/>
      <c r="F27" s="41"/>
      <c r="G27" s="43"/>
      <c r="H27" s="44" t="s">
        <v>12</v>
      </c>
      <c r="I27" s="45"/>
      <c r="J27" s="45"/>
      <c r="K27" s="46"/>
      <c r="L27" s="47"/>
      <c r="M27" s="47"/>
      <c r="N27" s="47"/>
      <c r="O27" s="47"/>
      <c r="P27" s="47"/>
    </row>
    <row r="28" spans="1:16" ht="18.75" hidden="1" x14ac:dyDescent="0.25">
      <c r="A28" s="40"/>
      <c r="B28" s="41"/>
      <c r="C28" s="41"/>
      <c r="D28" s="41"/>
      <c r="E28" s="279" t="s">
        <v>18</v>
      </c>
      <c r="F28" s="41"/>
      <c r="G28" s="43"/>
      <c r="H28" s="49" t="s">
        <v>12</v>
      </c>
      <c r="I28" s="45"/>
      <c r="J28" s="45"/>
      <c r="K28" s="46"/>
      <c r="L28" s="50"/>
      <c r="M28" s="50"/>
      <c r="N28" s="50"/>
      <c r="O28" s="50"/>
      <c r="P28" s="50"/>
    </row>
    <row r="29" spans="1:16" ht="18.75" hidden="1" x14ac:dyDescent="0.25">
      <c r="A29" s="52"/>
      <c r="B29" s="1"/>
      <c r="C29" s="1"/>
      <c r="D29" s="1"/>
      <c r="E29" s="53" t="s">
        <v>19</v>
      </c>
      <c r="F29" s="1"/>
      <c r="G29" s="54"/>
      <c r="H29" s="55" t="s">
        <v>12</v>
      </c>
      <c r="I29" s="56"/>
      <c r="J29" s="56"/>
      <c r="K29" s="57"/>
      <c r="L29" s="58"/>
      <c r="M29" s="58"/>
      <c r="N29" s="58"/>
      <c r="O29" s="58"/>
      <c r="P29" s="58"/>
    </row>
    <row r="30" spans="1:16" ht="12.75" hidden="1" x14ac:dyDescent="0.2">
      <c r="A30" s="381"/>
      <c r="B30" s="379"/>
      <c r="C30" s="379"/>
      <c r="D30" s="379"/>
      <c r="E30" s="379"/>
      <c r="F30" s="379"/>
      <c r="G30" s="380"/>
      <c r="H30" s="12"/>
      <c r="I30" s="13"/>
      <c r="J30" s="13"/>
      <c r="K30" s="14"/>
      <c r="L30" s="14"/>
      <c r="M30" s="14"/>
      <c r="N30" s="14"/>
      <c r="O30" s="14"/>
      <c r="P30" s="14"/>
    </row>
    <row r="31" spans="1:16" ht="12.75" hidden="1" x14ac:dyDescent="0.2">
      <c r="A31" s="15"/>
      <c r="B31" s="16"/>
      <c r="C31" s="16"/>
      <c r="D31" s="16"/>
      <c r="E31" s="16"/>
      <c r="F31" s="16"/>
      <c r="G31" s="17"/>
      <c r="H31" s="17"/>
      <c r="I31" s="18"/>
      <c r="J31" s="18"/>
      <c r="K31" s="19"/>
      <c r="L31" s="19"/>
      <c r="M31" s="19"/>
      <c r="N31" s="19"/>
      <c r="O31" s="19"/>
      <c r="P31" s="19"/>
    </row>
    <row r="32" spans="1:16" ht="12.75" hidden="1" x14ac:dyDescent="0.2">
      <c r="A32" s="15"/>
      <c r="B32" s="16"/>
      <c r="C32" s="16"/>
      <c r="D32" s="16"/>
      <c r="E32" s="16"/>
      <c r="F32" s="16"/>
      <c r="G32" s="17"/>
      <c r="H32" s="17"/>
      <c r="I32" s="18"/>
      <c r="J32" s="18"/>
      <c r="K32" s="19"/>
      <c r="L32" s="19"/>
      <c r="M32" s="19"/>
      <c r="N32" s="19"/>
      <c r="O32" s="19"/>
      <c r="P32" s="19"/>
    </row>
    <row r="33" spans="1:16" ht="12.75" hidden="1" x14ac:dyDescent="0.2">
      <c r="A33" s="15"/>
      <c r="B33" s="16"/>
      <c r="C33" s="16"/>
      <c r="D33" s="16"/>
      <c r="E33" s="16"/>
      <c r="F33" s="16"/>
      <c r="G33" s="17"/>
      <c r="H33" s="17"/>
      <c r="I33" s="18"/>
      <c r="J33" s="18"/>
      <c r="K33" s="19"/>
      <c r="L33" s="19"/>
      <c r="M33" s="19"/>
      <c r="N33" s="19"/>
      <c r="O33" s="19"/>
      <c r="P33" s="19"/>
    </row>
    <row r="34" spans="1:16" ht="12.75" hidden="1" x14ac:dyDescent="0.2">
      <c r="A34" s="15"/>
      <c r="B34" s="16"/>
      <c r="C34" s="16"/>
      <c r="D34" s="16"/>
      <c r="E34" s="16"/>
      <c r="F34" s="16"/>
      <c r="G34" s="17"/>
      <c r="H34" s="17"/>
      <c r="I34" s="18"/>
      <c r="J34" s="18"/>
      <c r="K34" s="19"/>
      <c r="L34" s="19"/>
      <c r="M34" s="19"/>
      <c r="N34" s="19"/>
      <c r="O34" s="19"/>
      <c r="P34" s="19"/>
    </row>
    <row r="35" spans="1:16" ht="12.75" hidden="1" x14ac:dyDescent="0.2">
      <c r="A35" s="15"/>
      <c r="B35" s="16"/>
      <c r="C35" s="16"/>
      <c r="D35" s="16"/>
      <c r="E35" s="16"/>
      <c r="F35" s="16"/>
      <c r="G35" s="17"/>
      <c r="H35" s="17"/>
      <c r="I35" s="18"/>
      <c r="J35" s="18"/>
      <c r="K35" s="19"/>
      <c r="L35" s="19"/>
      <c r="M35" s="19"/>
      <c r="N35" s="19"/>
      <c r="O35" s="19"/>
      <c r="P35" s="19"/>
    </row>
    <row r="36" spans="1:16" ht="12.75" hidden="1" x14ac:dyDescent="0.2">
      <c r="A36" s="15"/>
      <c r="B36" s="16"/>
      <c r="C36" s="16"/>
      <c r="D36" s="16"/>
      <c r="E36" s="16"/>
      <c r="F36" s="16"/>
      <c r="G36" s="17"/>
      <c r="H36" s="17"/>
      <c r="I36" s="18"/>
      <c r="J36" s="18"/>
      <c r="K36" s="19"/>
      <c r="L36" s="19"/>
      <c r="M36" s="19"/>
      <c r="N36" s="19"/>
      <c r="O36" s="19"/>
      <c r="P36" s="19"/>
    </row>
    <row r="37" spans="1:16" ht="12.75" hidden="1" x14ac:dyDescent="0.2">
      <c r="A37" s="15"/>
      <c r="B37" s="16"/>
      <c r="C37" s="16"/>
      <c r="D37" s="16"/>
      <c r="E37" s="16"/>
      <c r="F37" s="16"/>
      <c r="G37" s="17"/>
      <c r="H37" s="17"/>
      <c r="I37" s="18"/>
      <c r="J37" s="18"/>
      <c r="K37" s="19"/>
      <c r="L37" s="19"/>
      <c r="M37" s="19"/>
      <c r="N37" s="19"/>
      <c r="O37" s="19"/>
      <c r="P37" s="19"/>
    </row>
    <row r="38" spans="1:16" ht="12.75" hidden="1" x14ac:dyDescent="0.2">
      <c r="A38" s="15"/>
      <c r="B38" s="16"/>
      <c r="C38" s="16"/>
      <c r="D38" s="16"/>
      <c r="E38" s="16"/>
      <c r="F38" s="16"/>
      <c r="G38" s="17"/>
      <c r="H38" s="17"/>
      <c r="I38" s="18"/>
      <c r="J38" s="18"/>
      <c r="K38" s="19"/>
      <c r="L38" s="19"/>
      <c r="M38" s="19"/>
      <c r="N38" s="19"/>
      <c r="O38" s="19"/>
      <c r="P38" s="19"/>
    </row>
    <row r="39" spans="1:16" ht="12.75" hidden="1" x14ac:dyDescent="0.2">
      <c r="A39" s="20"/>
      <c r="B39" s="21"/>
      <c r="C39" s="21"/>
      <c r="D39" s="21"/>
      <c r="E39" s="21"/>
      <c r="F39" s="21"/>
      <c r="G39" s="12"/>
      <c r="H39" s="12"/>
      <c r="I39" s="13"/>
      <c r="J39" s="13"/>
      <c r="K39" s="14"/>
      <c r="L39" s="14"/>
      <c r="M39" s="14"/>
      <c r="N39" s="14"/>
      <c r="O39" s="14"/>
      <c r="P39" s="14"/>
    </row>
    <row r="40" spans="1:16" ht="19.5" hidden="1" x14ac:dyDescent="0.3">
      <c r="A40" s="59" t="s">
        <v>23</v>
      </c>
      <c r="B40" s="60"/>
      <c r="C40" s="60"/>
      <c r="D40" s="60"/>
      <c r="E40" s="60"/>
      <c r="F40" s="60"/>
      <c r="G40" s="61"/>
      <c r="H40" s="61"/>
      <c r="I40" s="62"/>
      <c r="J40" s="62"/>
      <c r="K40" s="63"/>
      <c r="L40" s="64">
        <f ca="1">L44+L59+L72+L94+L125+L139+L157+L173+L186+L266+L282+L303+L320+L333+L356</f>
        <v>1947605</v>
      </c>
      <c r="M40" s="64">
        <f ca="1">M44+M59+M72+M94+M125+M139+M157+M173+M186+M266+M282+M303+M320+M333+M356</f>
        <v>1586765</v>
      </c>
      <c r="N40" s="64">
        <f ca="1">N44+N59+N72+N94+N125+N139+N157+N173+N186+N266+N282+N303+N320+N333+N356</f>
        <v>398040.99</v>
      </c>
      <c r="O40" s="64">
        <f ca="1">IF(L40&gt;0,N40*100/L40,0)</f>
        <v>20.437459854539291</v>
      </c>
      <c r="P40" s="64">
        <f ca="1">IF(M40&gt;0,N40*100/M40,0)</f>
        <v>25.085062375335983</v>
      </c>
    </row>
    <row r="41" spans="1:16" ht="19.5" x14ac:dyDescent="0.3">
      <c r="A41" s="65" t="s">
        <v>24</v>
      </c>
      <c r="B41" s="66"/>
      <c r="C41" s="66"/>
      <c r="D41" s="66"/>
      <c r="E41" s="66"/>
      <c r="F41" s="66"/>
      <c r="G41" s="66"/>
      <c r="H41" s="66"/>
      <c r="I41" s="67"/>
      <c r="J41" s="67"/>
      <c r="K41" s="68"/>
      <c r="L41" s="68"/>
      <c r="M41" s="68"/>
      <c r="N41" s="68"/>
      <c r="O41" s="68"/>
      <c r="P41" s="69"/>
    </row>
    <row r="42" spans="1:16" ht="19.5" x14ac:dyDescent="0.3">
      <c r="A42" s="70"/>
      <c r="B42" s="71" t="s">
        <v>25</v>
      </c>
      <c r="C42" s="70"/>
      <c r="D42" s="70"/>
      <c r="E42" s="70"/>
      <c r="F42" s="70"/>
      <c r="G42" s="72"/>
      <c r="H42" s="72"/>
      <c r="I42" s="73"/>
      <c r="J42" s="73"/>
      <c r="K42" s="74"/>
      <c r="L42" s="74"/>
      <c r="M42" s="74"/>
      <c r="N42" s="74"/>
      <c r="O42" s="74"/>
      <c r="P42" s="74"/>
    </row>
    <row r="43" spans="1:16" ht="12.75" hidden="1" x14ac:dyDescent="0.2">
      <c r="A43" s="15"/>
      <c r="B43" s="16"/>
      <c r="C43" s="16"/>
      <c r="D43" s="16"/>
      <c r="E43" s="16"/>
      <c r="F43" s="16"/>
      <c r="G43" s="17"/>
      <c r="H43" s="17"/>
      <c r="I43" s="18"/>
      <c r="J43" s="18"/>
      <c r="K43" s="19"/>
      <c r="L43" s="19"/>
      <c r="M43" s="19"/>
      <c r="N43" s="19"/>
      <c r="O43" s="19"/>
      <c r="P43" s="19"/>
    </row>
    <row r="44" spans="1:16" ht="19.5" x14ac:dyDescent="0.3">
      <c r="A44" s="75"/>
      <c r="B44" s="76"/>
      <c r="C44" s="77" t="s">
        <v>16</v>
      </c>
      <c r="D44" s="404" t="s">
        <v>17</v>
      </c>
      <c r="E44" s="76"/>
      <c r="F44" s="76"/>
      <c r="G44" s="79"/>
      <c r="H44" s="80" t="s">
        <v>12</v>
      </c>
      <c r="I44" s="81"/>
      <c r="J44" s="81"/>
      <c r="K44" s="82"/>
      <c r="L44" s="83">
        <f ca="1">L45+L46</f>
        <v>372970</v>
      </c>
      <c r="M44" s="83">
        <f ca="1">M45+M46</f>
        <v>372970</v>
      </c>
      <c r="N44" s="83">
        <f ca="1">N45+N46</f>
        <v>169570</v>
      </c>
      <c r="O44" s="83">
        <f ca="1">IF(L44&gt;0,N44*100/L44,0)</f>
        <v>45.464782690296808</v>
      </c>
      <c r="P44" s="83">
        <f ca="1">IF(M44&gt;0,N44*100/M44,0)</f>
        <v>45.464782690296808</v>
      </c>
    </row>
    <row r="45" spans="1:16" ht="18.75" hidden="1" x14ac:dyDescent="0.25">
      <c r="A45" s="75"/>
      <c r="B45" s="76"/>
      <c r="C45" s="76"/>
      <c r="D45" s="76"/>
      <c r="E45" s="84" t="s">
        <v>18</v>
      </c>
      <c r="F45" s="76"/>
      <c r="G45" s="79"/>
      <c r="H45" s="85" t="s">
        <v>12</v>
      </c>
      <c r="I45" s="81"/>
      <c r="J45" s="81"/>
      <c r="K45" s="82"/>
      <c r="L45" s="86">
        <f>L48+L51</f>
        <v>0</v>
      </c>
      <c r="M45" s="86">
        <f>M48+M51</f>
        <v>0</v>
      </c>
      <c r="N45" s="86">
        <f>N48+N51</f>
        <v>0</v>
      </c>
      <c r="O45" s="86">
        <f>IF(L45&gt;0,N45*100/L45,0)</f>
        <v>0</v>
      </c>
      <c r="P45" s="86">
        <f>IF(M45&gt;0,N45*100/M45,0)</f>
        <v>0</v>
      </c>
    </row>
    <row r="46" spans="1:16" ht="18.75" x14ac:dyDescent="0.25">
      <c r="A46" s="75"/>
      <c r="B46" s="76"/>
      <c r="C46" s="76"/>
      <c r="D46" s="76"/>
      <c r="E46" s="87" t="s">
        <v>19</v>
      </c>
      <c r="F46" s="76"/>
      <c r="G46" s="79"/>
      <c r="H46" s="88" t="s">
        <v>12</v>
      </c>
      <c r="I46" s="81"/>
      <c r="J46" s="81"/>
      <c r="K46" s="82"/>
      <c r="L46" s="89">
        <f ca="1">L49+L52</f>
        <v>372970</v>
      </c>
      <c r="M46" s="89">
        <f ca="1">M49+M52</f>
        <v>372970</v>
      </c>
      <c r="N46" s="89">
        <f ca="1">N49+N52</f>
        <v>169570</v>
      </c>
      <c r="O46" s="89">
        <f ca="1">IF(L46&gt;0,N46*100/L46,0)</f>
        <v>45.464782690296808</v>
      </c>
      <c r="P46" s="89">
        <f ca="1">IF(M46&gt;0,N46*100/M46,0)</f>
        <v>45.464782690296808</v>
      </c>
    </row>
    <row r="47" spans="1:16" ht="18.75" x14ac:dyDescent="0.25">
      <c r="A47" s="40"/>
      <c r="B47" s="41"/>
      <c r="C47" s="41"/>
      <c r="D47" s="42" t="s">
        <v>20</v>
      </c>
      <c r="E47" s="41"/>
      <c r="F47" s="41"/>
      <c r="G47" s="43"/>
      <c r="H47" s="44" t="s">
        <v>12</v>
      </c>
      <c r="I47" s="45"/>
      <c r="J47" s="45"/>
      <c r="K47" s="46"/>
      <c r="L47" s="47">
        <f ca="1">L48+L49</f>
        <v>372970</v>
      </c>
      <c r="M47" s="47">
        <f ca="1">M48+M49</f>
        <v>372970</v>
      </c>
      <c r="N47" s="47">
        <f ca="1">N48+N49</f>
        <v>169570</v>
      </c>
      <c r="O47" s="47">
        <f ca="1">IF(L47&gt;0,N47*100/L47,0)</f>
        <v>45.464782690296808</v>
      </c>
      <c r="P47" s="47">
        <f ca="1">IF(M47&gt;0,N47*100/M47,0)</f>
        <v>45.464782690296808</v>
      </c>
    </row>
    <row r="48" spans="1:16" ht="18.75" hidden="1" x14ac:dyDescent="0.25">
      <c r="A48" s="40"/>
      <c r="B48" s="41"/>
      <c r="C48" s="41"/>
      <c r="D48" s="41"/>
      <c r="E48" s="279" t="s">
        <v>18</v>
      </c>
      <c r="F48" s="41"/>
      <c r="G48" s="43"/>
      <c r="H48" s="49" t="s">
        <v>12</v>
      </c>
      <c r="I48" s="45"/>
      <c r="J48" s="45"/>
      <c r="K48" s="46"/>
      <c r="L48" s="50">
        <v>0</v>
      </c>
      <c r="M48" s="50">
        <v>0</v>
      </c>
      <c r="N48" s="50">
        <v>0</v>
      </c>
      <c r="O48" s="50">
        <f>IF(L48&gt;0,N48*100/L48,0)</f>
        <v>0</v>
      </c>
      <c r="P48" s="50">
        <f>IF(M48&gt;0,N48*100/M48,0)</f>
        <v>0</v>
      </c>
    </row>
    <row r="49" spans="1:16" ht="18.75" x14ac:dyDescent="0.25">
      <c r="A49" s="40"/>
      <c r="B49" s="41"/>
      <c r="C49" s="41"/>
      <c r="D49" s="41"/>
      <c r="E49" s="254" t="s">
        <v>19</v>
      </c>
      <c r="F49" s="41"/>
      <c r="G49" s="43"/>
      <c r="H49" s="44" t="s">
        <v>12</v>
      </c>
      <c r="I49" s="45"/>
      <c r="J49" s="45"/>
      <c r="K49" s="46"/>
      <c r="L49" s="47">
        <f ca="1">IFERROR(__xludf.DUMMYFUNCTION("IMPORTRANGE(""https://docs.google.com/spreadsheets/d/1-uDff_7J0KD5mKrp0Vvzr7lt3OU09vwQwhkpOPPYv2Y/edit?usp=sharing"",""งบพรบ!P28"")"),372970)</f>
        <v>372970</v>
      </c>
      <c r="M49" s="47">
        <f ca="1">IFERROR(__xludf.DUMMYFUNCTION("IMPORTRANGE(""https://docs.google.com/spreadsheets/d/1-uDff_7J0KD5mKrp0Vvzr7lt3OU09vwQwhkpOPPYv2Y/edit?usp=sharing"",""งบพรบ!V28"")"),372970)</f>
        <v>372970</v>
      </c>
      <c r="N49" s="47">
        <f ca="1">IFERROR(__xludf.DUMMYFUNCTION("IMPORTRANGE(""https://docs.google.com/spreadsheets/d/1-uDff_7J0KD5mKrp0Vvzr7lt3OU09vwQwhkpOPPYv2Y/edit?usp=sharing"",""งบพรบ!Y28"")"),169570)</f>
        <v>169570</v>
      </c>
      <c r="O49" s="47">
        <f ca="1">IF(L49&gt;0,N49*100/L49,0)</f>
        <v>45.464782690296808</v>
      </c>
      <c r="P49" s="47">
        <f ca="1">IF(M49&gt;0,N49*100/M49,0)</f>
        <v>45.464782690296808</v>
      </c>
    </row>
    <row r="50" spans="1:16" ht="18.75" x14ac:dyDescent="0.25">
      <c r="A50" s="40"/>
      <c r="B50" s="41"/>
      <c r="C50" s="41"/>
      <c r="D50" s="42" t="s">
        <v>21</v>
      </c>
      <c r="E50" s="41"/>
      <c r="F50" s="41"/>
      <c r="G50" s="43"/>
      <c r="H50" s="44" t="s">
        <v>12</v>
      </c>
      <c r="I50" s="45"/>
      <c r="J50" s="45"/>
      <c r="K50" s="46"/>
      <c r="L50" s="47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</row>
    <row r="51" spans="1:16" ht="18.75" hidden="1" x14ac:dyDescent="0.25">
      <c r="A51" s="40"/>
      <c r="B51" s="41"/>
      <c r="C51" s="41"/>
      <c r="D51" s="41"/>
      <c r="E51" s="279" t="s">
        <v>18</v>
      </c>
      <c r="F51" s="41"/>
      <c r="G51" s="43"/>
      <c r="H51" s="49" t="s">
        <v>12</v>
      </c>
      <c r="I51" s="45"/>
      <c r="J51" s="45"/>
      <c r="K51" s="46"/>
      <c r="L51" s="50">
        <v>0</v>
      </c>
      <c r="M51" s="50">
        <v>0</v>
      </c>
      <c r="N51" s="50">
        <v>0</v>
      </c>
      <c r="O51" s="50">
        <f>IF(L51&gt;0,N51*100/L51,0)</f>
        <v>0</v>
      </c>
      <c r="P51" s="50">
        <f>IF(M51&gt;0,N51*100/M51,0)</f>
        <v>0</v>
      </c>
    </row>
    <row r="52" spans="1:16" ht="18.75" x14ac:dyDescent="0.25">
      <c r="A52" s="40"/>
      <c r="B52" s="41"/>
      <c r="C52" s="41"/>
      <c r="D52" s="41"/>
      <c r="E52" s="254" t="s">
        <v>19</v>
      </c>
      <c r="F52" s="41"/>
      <c r="G52" s="43"/>
      <c r="H52" s="44" t="s">
        <v>12</v>
      </c>
      <c r="I52" s="45"/>
      <c r="J52" s="45"/>
      <c r="K52" s="46"/>
      <c r="L52" s="47">
        <f ca="1">IFERROR(__xludf.DUMMYFUNCTION("IMPORTRANGE(""https://docs.google.com/spreadsheets/d/1-uDff_7J0KD5mKrp0Vvzr7lt3OU09vwQwhkpOPPYv2Y/edit?usp=sharing"",""งบพรบ!S28"")"),0)</f>
        <v>0</v>
      </c>
      <c r="M52" s="47">
        <f ca="1">IFERROR(__xludf.DUMMYFUNCTION("IMPORTRANGE(""https://docs.google.com/spreadsheets/d/1-uDff_7J0KD5mKrp0Vvzr7lt3OU09vwQwhkpOPPYv2Y/edit?usp=sharing"",""งบพรบ!W28"")"),0)</f>
        <v>0</v>
      </c>
      <c r="N52" s="47">
        <f ca="1">IFERROR(__xludf.DUMMYFUNCTION("IMPORTRANGE(""https://docs.google.com/spreadsheets/d/1-uDff_7J0KD5mKrp0Vvzr7lt3OU09vwQwhkpOPPYv2Y/edit?usp=sharing"",""งบพรบ!Z28"")"),0)</f>
        <v>0</v>
      </c>
      <c r="O52" s="47">
        <f ca="1">IF(L52&gt;0,N52*100/L52,0)</f>
        <v>0</v>
      </c>
      <c r="P52" s="47">
        <f ca="1">IF(M52&gt;0,N52*100/M52,0)</f>
        <v>0</v>
      </c>
    </row>
    <row r="53" spans="1:16" ht="18.75" hidden="1" x14ac:dyDescent="0.25">
      <c r="A53" s="40"/>
      <c r="B53" s="41"/>
      <c r="C53" s="41"/>
      <c r="D53" s="42" t="s">
        <v>22</v>
      </c>
      <c r="E53" s="41"/>
      <c r="F53" s="41"/>
      <c r="G53" s="43"/>
      <c r="H53" s="44" t="s">
        <v>12</v>
      </c>
      <c r="I53" s="45"/>
      <c r="J53" s="45"/>
      <c r="K53" s="46"/>
      <c r="L53" s="47"/>
      <c r="M53" s="47"/>
      <c r="N53" s="47"/>
      <c r="O53" s="47"/>
      <c r="P53" s="47"/>
    </row>
    <row r="54" spans="1:16" ht="18.75" hidden="1" x14ac:dyDescent="0.25">
      <c r="A54" s="40"/>
      <c r="B54" s="41"/>
      <c r="C54" s="41"/>
      <c r="D54" s="41"/>
      <c r="E54" s="279" t="s">
        <v>18</v>
      </c>
      <c r="F54" s="41"/>
      <c r="G54" s="43"/>
      <c r="H54" s="49" t="s">
        <v>12</v>
      </c>
      <c r="I54" s="45"/>
      <c r="J54" s="45"/>
      <c r="K54" s="46"/>
      <c r="L54" s="50"/>
      <c r="M54" s="50"/>
      <c r="N54" s="50"/>
      <c r="O54" s="50"/>
      <c r="P54" s="50"/>
    </row>
    <row r="55" spans="1:16" ht="18.75" hidden="1" x14ac:dyDescent="0.25">
      <c r="A55" s="52"/>
      <c r="B55" s="1"/>
      <c r="C55" s="1"/>
      <c r="D55" s="1"/>
      <c r="E55" s="53" t="s">
        <v>19</v>
      </c>
      <c r="F55" s="1"/>
      <c r="G55" s="54"/>
      <c r="H55" s="55" t="s">
        <v>12</v>
      </c>
      <c r="I55" s="56"/>
      <c r="J55" s="56"/>
      <c r="K55" s="57"/>
      <c r="L55" s="58"/>
      <c r="M55" s="58"/>
      <c r="N55" s="58"/>
      <c r="O55" s="58"/>
      <c r="P55" s="58"/>
    </row>
    <row r="56" spans="1:16" ht="19.5" x14ac:dyDescent="0.3">
      <c r="A56" s="382" t="s">
        <v>26</v>
      </c>
      <c r="B56" s="379"/>
      <c r="C56" s="379"/>
      <c r="D56" s="379"/>
      <c r="E56" s="379"/>
      <c r="F56" s="379"/>
      <c r="G56" s="380"/>
      <c r="H56" s="90"/>
      <c r="I56" s="91"/>
      <c r="J56" s="91"/>
      <c r="K56" s="92"/>
      <c r="L56" s="92"/>
      <c r="M56" s="92"/>
      <c r="N56" s="92"/>
      <c r="O56" s="92"/>
      <c r="P56" s="93"/>
    </row>
    <row r="57" spans="1:16" ht="19.5" x14ac:dyDescent="0.3">
      <c r="A57" s="94"/>
      <c r="B57" s="383" t="s">
        <v>27</v>
      </c>
      <c r="C57" s="384"/>
      <c r="D57" s="384"/>
      <c r="E57" s="384"/>
      <c r="F57" s="384"/>
      <c r="G57" s="385"/>
      <c r="H57" s="95"/>
      <c r="I57" s="96"/>
      <c r="J57" s="96"/>
      <c r="K57" s="97"/>
      <c r="L57" s="97"/>
      <c r="M57" s="97"/>
      <c r="N57" s="97"/>
      <c r="O57" s="97"/>
      <c r="P57" s="97"/>
    </row>
    <row r="58" spans="1:16" ht="19.5" x14ac:dyDescent="0.3">
      <c r="A58" s="98"/>
      <c r="B58" s="99" t="s">
        <v>28</v>
      </c>
      <c r="C58" s="100"/>
      <c r="D58" s="100"/>
      <c r="E58" s="100"/>
      <c r="F58" s="100"/>
      <c r="G58" s="101"/>
      <c r="H58" s="101"/>
      <c r="I58" s="102"/>
      <c r="J58" s="102"/>
      <c r="K58" s="103"/>
      <c r="L58" s="103"/>
      <c r="M58" s="103"/>
      <c r="N58" s="103"/>
      <c r="O58" s="103"/>
      <c r="P58" s="103"/>
    </row>
    <row r="59" spans="1:16" ht="19.5" x14ac:dyDescent="0.3">
      <c r="A59" s="104"/>
      <c r="B59" s="105"/>
      <c r="C59" s="106" t="s">
        <v>16</v>
      </c>
      <c r="D59" s="403" t="s">
        <v>17</v>
      </c>
      <c r="E59" s="105"/>
      <c r="F59" s="105"/>
      <c r="G59" s="108"/>
      <c r="H59" s="109" t="s">
        <v>12</v>
      </c>
      <c r="I59" s="110"/>
      <c r="J59" s="110"/>
      <c r="K59" s="111"/>
      <c r="L59" s="112">
        <f ca="1">L60+L61</f>
        <v>510600</v>
      </c>
      <c r="M59" s="112">
        <f ca="1">M60+M61</f>
        <v>385050</v>
      </c>
      <c r="N59" s="112">
        <f ca="1">N60+N61</f>
        <v>86335.99</v>
      </c>
      <c r="O59" s="112">
        <f ca="1">IF(L59&gt;0,N59*100/L59,0)</f>
        <v>16.908732863298081</v>
      </c>
      <c r="P59" s="112">
        <f ca="1">IF(M59&gt;0,N59*100/M59,0)</f>
        <v>22.422020516815998</v>
      </c>
    </row>
    <row r="60" spans="1:16" ht="18.75" hidden="1" x14ac:dyDescent="0.25">
      <c r="A60" s="104"/>
      <c r="B60" s="105"/>
      <c r="C60" s="105"/>
      <c r="D60" s="105"/>
      <c r="E60" s="113" t="s">
        <v>18</v>
      </c>
      <c r="F60" s="105"/>
      <c r="G60" s="108"/>
      <c r="H60" s="114" t="s">
        <v>12</v>
      </c>
      <c r="I60" s="110"/>
      <c r="J60" s="110"/>
      <c r="K60" s="111"/>
      <c r="L60" s="115">
        <f>L63+L66</f>
        <v>0</v>
      </c>
      <c r="M60" s="115">
        <f>M63+M66</f>
        <v>0</v>
      </c>
      <c r="N60" s="115">
        <f>N63+N66</f>
        <v>0</v>
      </c>
      <c r="O60" s="115">
        <f>IF(L60&gt;0,N60*100/L60,0)</f>
        <v>0</v>
      </c>
      <c r="P60" s="115">
        <f>IF(M60&gt;0,N60*100/M60,0)</f>
        <v>0</v>
      </c>
    </row>
    <row r="61" spans="1:16" ht="18.75" x14ac:dyDescent="0.25">
      <c r="A61" s="104"/>
      <c r="B61" s="105"/>
      <c r="C61" s="105"/>
      <c r="D61" s="105"/>
      <c r="E61" s="116" t="s">
        <v>19</v>
      </c>
      <c r="F61" s="105"/>
      <c r="G61" s="108"/>
      <c r="H61" s="117" t="s">
        <v>12</v>
      </c>
      <c r="I61" s="110"/>
      <c r="J61" s="110"/>
      <c r="K61" s="111"/>
      <c r="L61" s="118">
        <f ca="1">L64+L67</f>
        <v>510600</v>
      </c>
      <c r="M61" s="118">
        <f ca="1">M64+M67</f>
        <v>385050</v>
      </c>
      <c r="N61" s="118">
        <f ca="1">N64+N67</f>
        <v>86335.99</v>
      </c>
      <c r="O61" s="118">
        <f ca="1">IF(L61&gt;0,N61*100/L61,0)</f>
        <v>16.908732863298081</v>
      </c>
      <c r="P61" s="118">
        <f ca="1">IF(M61&gt;0,N61*100/M61,0)</f>
        <v>22.422020516815998</v>
      </c>
    </row>
    <row r="62" spans="1:16" ht="18.75" x14ac:dyDescent="0.25">
      <c r="A62" s="40"/>
      <c r="B62" s="41"/>
      <c r="C62" s="41"/>
      <c r="D62" s="42" t="s">
        <v>20</v>
      </c>
      <c r="E62" s="41"/>
      <c r="F62" s="41"/>
      <c r="G62" s="43"/>
      <c r="H62" s="44" t="s">
        <v>12</v>
      </c>
      <c r="I62" s="45"/>
      <c r="J62" s="45"/>
      <c r="K62" s="46"/>
      <c r="L62" s="47">
        <f ca="1">L63+L64</f>
        <v>510600</v>
      </c>
      <c r="M62" s="47">
        <f ca="1">M63+M64</f>
        <v>385050</v>
      </c>
      <c r="N62" s="47">
        <f ca="1">N63+N64</f>
        <v>86335.99</v>
      </c>
      <c r="O62" s="47">
        <f ca="1">IF(L62&gt;0,N62*100/L62,0)</f>
        <v>16.908732863298081</v>
      </c>
      <c r="P62" s="47">
        <f ca="1">IF(M62&gt;0,N62*100/M62,0)</f>
        <v>22.422020516815998</v>
      </c>
    </row>
    <row r="63" spans="1:16" ht="18.75" hidden="1" x14ac:dyDescent="0.25">
      <c r="A63" s="40"/>
      <c r="B63" s="41"/>
      <c r="C63" s="41"/>
      <c r="D63" s="41"/>
      <c r="E63" s="279" t="s">
        <v>18</v>
      </c>
      <c r="F63" s="41"/>
      <c r="G63" s="43"/>
      <c r="H63" s="49" t="s">
        <v>12</v>
      </c>
      <c r="I63" s="45"/>
      <c r="J63" s="45"/>
      <c r="K63" s="46"/>
      <c r="L63" s="50">
        <v>0</v>
      </c>
      <c r="M63" s="50">
        <v>0</v>
      </c>
      <c r="N63" s="50">
        <v>0</v>
      </c>
      <c r="O63" s="50">
        <f>IF(L63&gt;0,N63*100/L63,0)</f>
        <v>0</v>
      </c>
      <c r="P63" s="50">
        <f>IF(M63&gt;0,N63*100/M63,0)</f>
        <v>0</v>
      </c>
    </row>
    <row r="64" spans="1:16" ht="18.75" x14ac:dyDescent="0.25">
      <c r="A64" s="40"/>
      <c r="B64" s="41"/>
      <c r="C64" s="41"/>
      <c r="D64" s="41"/>
      <c r="E64" s="254" t="s">
        <v>19</v>
      </c>
      <c r="F64" s="41"/>
      <c r="G64" s="43"/>
      <c r="H64" s="44" t="s">
        <v>12</v>
      </c>
      <c r="I64" s="45"/>
      <c r="J64" s="45"/>
      <c r="K64" s="46"/>
      <c r="L64" s="47">
        <f ca="1">IFERROR(__xludf.DUMMYFUNCTION("IMPORTRANGE(""https://docs.google.com/spreadsheets/d/1-uDff_7J0KD5mKrp0Vvzr7lt3OU09vwQwhkpOPPYv2Y/edit?usp=sharing"",""งบพรบ!AC28"")"),510600)</f>
        <v>510600</v>
      </c>
      <c r="M64" s="47">
        <f ca="1">IFERROR(__xludf.DUMMYFUNCTION("IMPORTRANGE(""https://docs.google.com/spreadsheets/d/1-uDff_7J0KD5mKrp0Vvzr7lt3OU09vwQwhkpOPPYv2Y/edit?usp=sharing"",""งบพรบ!AH28"")"),385050)</f>
        <v>385050</v>
      </c>
      <c r="N64" s="47">
        <f ca="1">IFERROR(__xludf.DUMMYFUNCTION("IMPORTRANGE(""https://docs.google.com/spreadsheets/d/1-uDff_7J0KD5mKrp0Vvzr7lt3OU09vwQwhkpOPPYv2Y/edit?usp=sharing"",""งบพรบ!AJ28"")"),86335.99)</f>
        <v>86335.99</v>
      </c>
      <c r="O64" s="47">
        <f ca="1">IF(L64&gt;0,N64*100/L64,0)</f>
        <v>16.908732863298081</v>
      </c>
      <c r="P64" s="47">
        <f ca="1">IF(M64&gt;0,N64*100/M64,0)</f>
        <v>22.422020516815998</v>
      </c>
    </row>
    <row r="65" spans="1:16" ht="18.75" x14ac:dyDescent="0.25">
      <c r="A65" s="40"/>
      <c r="B65" s="41"/>
      <c r="C65" s="41"/>
      <c r="D65" s="42" t="s">
        <v>21</v>
      </c>
      <c r="E65" s="41"/>
      <c r="F65" s="41"/>
      <c r="G65" s="43"/>
      <c r="H65" s="44" t="s">
        <v>12</v>
      </c>
      <c r="I65" s="45"/>
      <c r="J65" s="45"/>
      <c r="K65" s="46"/>
      <c r="L65" s="47">
        <f ca="1">L66+L67</f>
        <v>0</v>
      </c>
      <c r="M65" s="47">
        <f ca="1">M66+M67</f>
        <v>0</v>
      </c>
      <c r="N65" s="47">
        <f ca="1">N66+N67</f>
        <v>0</v>
      </c>
      <c r="O65" s="47">
        <f ca="1">IF(L65&gt;0,N65*100/L65,0)</f>
        <v>0</v>
      </c>
      <c r="P65" s="47">
        <f ca="1">IF(M65&gt;0,N65*100/M65,0)</f>
        <v>0</v>
      </c>
    </row>
    <row r="66" spans="1:16" ht="18.75" hidden="1" x14ac:dyDescent="0.25">
      <c r="A66" s="40"/>
      <c r="B66" s="41"/>
      <c r="C66" s="41"/>
      <c r="D66" s="41"/>
      <c r="E66" s="279" t="s">
        <v>18</v>
      </c>
      <c r="F66" s="41"/>
      <c r="G66" s="43"/>
      <c r="H66" s="49" t="s">
        <v>12</v>
      </c>
      <c r="I66" s="45"/>
      <c r="J66" s="45"/>
      <c r="K66" s="46"/>
      <c r="L66" s="50">
        <v>0</v>
      </c>
      <c r="M66" s="50">
        <v>0</v>
      </c>
      <c r="N66" s="50">
        <v>0</v>
      </c>
      <c r="O66" s="50">
        <f>IF(L66&gt;0,N66*100/L66,0)</f>
        <v>0</v>
      </c>
      <c r="P66" s="50">
        <f>IF(M66&gt;0,N66*100/M66,0)</f>
        <v>0</v>
      </c>
    </row>
    <row r="67" spans="1:16" ht="18.75" x14ac:dyDescent="0.25">
      <c r="A67" s="52"/>
      <c r="B67" s="1"/>
      <c r="C67" s="1"/>
      <c r="D67" s="1"/>
      <c r="E67" s="53" t="s">
        <v>19</v>
      </c>
      <c r="F67" s="1"/>
      <c r="G67" s="54"/>
      <c r="H67" s="55" t="s">
        <v>12</v>
      </c>
      <c r="I67" s="56"/>
      <c r="J67" s="56"/>
      <c r="K67" s="57"/>
      <c r="L67" s="58">
        <f ca="1">IFERROR(__xludf.DUMMYFUNCTION("IMPORTRANGE(""https://docs.google.com/spreadsheets/d/1-uDff_7J0KD5mKrp0Vvzr7lt3OU09vwQwhkpOPPYv2Y/edit?usp=sharing"",""งบพรบ!AF28"")"),0)</f>
        <v>0</v>
      </c>
      <c r="M67" s="58">
        <f ca="1">IFERROR(__xludf.DUMMYFUNCTION("IMPORTRANGE(""https://docs.google.com/spreadsheets/d/1-uDff_7J0KD5mKrp0Vvzr7lt3OU09vwQwhkpOPPYv2Y/edit?usp=sharing"",""งบพรบ!AI28"")"),0)</f>
        <v>0</v>
      </c>
      <c r="N67" s="58">
        <f ca="1">IFERROR(__xludf.DUMMYFUNCTION("IMPORTRANGE(""https://docs.google.com/spreadsheets/d/1-uDff_7J0KD5mKrp0Vvzr7lt3OU09vwQwhkpOPPYv2Y/edit?usp=sharing"",""งบพรบ!AK28"")"),0)</f>
        <v>0</v>
      </c>
      <c r="O67" s="58">
        <f ca="1">IF(L67&gt;0,N67*100/L67,0)</f>
        <v>0</v>
      </c>
      <c r="P67" s="58">
        <f ca="1">IF(M67&gt;0,N67*100/M67,0)</f>
        <v>0</v>
      </c>
    </row>
    <row r="68" spans="1:16" ht="19.5" hidden="1" x14ac:dyDescent="0.3">
      <c r="A68" s="119" t="s">
        <v>29</v>
      </c>
      <c r="B68" s="120"/>
      <c r="C68" s="120"/>
      <c r="D68" s="120"/>
      <c r="E68" s="121"/>
      <c r="F68" s="121"/>
      <c r="G68" s="121"/>
      <c r="H68" s="121"/>
      <c r="I68" s="122"/>
      <c r="J68" s="122"/>
      <c r="K68" s="123"/>
      <c r="L68" s="123"/>
      <c r="M68" s="123"/>
      <c r="N68" s="123"/>
      <c r="O68" s="123"/>
      <c r="P68" s="124"/>
    </row>
    <row r="69" spans="1:16" ht="19.5" hidden="1" x14ac:dyDescent="0.3">
      <c r="A69" s="125" t="s">
        <v>30</v>
      </c>
      <c r="B69" s="126"/>
      <c r="C69" s="127"/>
      <c r="D69" s="126"/>
      <c r="E69" s="126"/>
      <c r="F69" s="126"/>
      <c r="G69" s="128"/>
      <c r="H69" s="128"/>
      <c r="I69" s="129"/>
      <c r="J69" s="129"/>
      <c r="K69" s="130"/>
      <c r="L69" s="130"/>
      <c r="M69" s="130"/>
      <c r="N69" s="130"/>
      <c r="O69" s="130"/>
      <c r="P69" s="130"/>
    </row>
    <row r="70" spans="1:16" ht="19.5" hidden="1" x14ac:dyDescent="0.3">
      <c r="A70" s="131"/>
      <c r="B70" s="132" t="s">
        <v>31</v>
      </c>
      <c r="C70" s="26"/>
      <c r="D70" s="133"/>
      <c r="E70" s="26"/>
      <c r="F70" s="26"/>
      <c r="G70" s="29"/>
      <c r="H70" s="134" t="s">
        <v>32</v>
      </c>
      <c r="I70" s="135">
        <f ca="1">I82</f>
        <v>0</v>
      </c>
      <c r="J70" s="135">
        <f>J82</f>
        <v>0</v>
      </c>
      <c r="K70" s="33">
        <f ca="1">IF(I70&gt;0,J70*100/I70,0)</f>
        <v>0</v>
      </c>
      <c r="L70" s="32"/>
      <c r="M70" s="32"/>
      <c r="N70" s="32"/>
      <c r="O70" s="32"/>
      <c r="P70" s="32"/>
    </row>
    <row r="71" spans="1:16" ht="19.5" hidden="1" x14ac:dyDescent="0.3">
      <c r="A71" s="131"/>
      <c r="B71" s="26"/>
      <c r="C71" s="26"/>
      <c r="D71" s="133"/>
      <c r="E71" s="26"/>
      <c r="F71" s="26"/>
      <c r="G71" s="29"/>
      <c r="H71" s="134" t="s">
        <v>33</v>
      </c>
      <c r="I71" s="135">
        <f ca="1">I83</f>
        <v>0</v>
      </c>
      <c r="J71" s="135">
        <f>J83</f>
        <v>0</v>
      </c>
      <c r="K71" s="33">
        <f ca="1">IF(I71&gt;0,J71*100/I71,0)</f>
        <v>0</v>
      </c>
      <c r="L71" s="32"/>
      <c r="M71" s="32"/>
      <c r="N71" s="32"/>
      <c r="O71" s="32"/>
      <c r="P71" s="32"/>
    </row>
    <row r="72" spans="1:16" ht="19.5" hidden="1" x14ac:dyDescent="0.3">
      <c r="A72" s="136"/>
      <c r="B72" s="41"/>
      <c r="C72" s="197" t="s">
        <v>16</v>
      </c>
      <c r="D72" s="397" t="s">
        <v>17</v>
      </c>
      <c r="E72" s="41"/>
      <c r="F72" s="41"/>
      <c r="G72" s="43"/>
      <c r="H72" s="139" t="s">
        <v>12</v>
      </c>
      <c r="I72" s="45"/>
      <c r="J72" s="45"/>
      <c r="K72" s="46"/>
      <c r="L72" s="140">
        <f ca="1">L73+L74</f>
        <v>0</v>
      </c>
      <c r="M72" s="140">
        <f ca="1">M73+M74</f>
        <v>0</v>
      </c>
      <c r="N72" s="140">
        <f ca="1">N73+N74</f>
        <v>0</v>
      </c>
      <c r="O72" s="140">
        <f ca="1">IF(L72&gt;0,N72*100/L72,0)</f>
        <v>0</v>
      </c>
      <c r="P72" s="140">
        <f ca="1">IF(M72&gt;0,N72*100/M72,0)</f>
        <v>0</v>
      </c>
    </row>
    <row r="73" spans="1:16" ht="18.75" hidden="1" x14ac:dyDescent="0.25">
      <c r="A73" s="136"/>
      <c r="B73" s="41"/>
      <c r="C73" s="41"/>
      <c r="D73" s="41"/>
      <c r="E73" s="279" t="s">
        <v>18</v>
      </c>
      <c r="F73" s="41"/>
      <c r="G73" s="43"/>
      <c r="H73" s="141" t="s">
        <v>12</v>
      </c>
      <c r="I73" s="45"/>
      <c r="J73" s="45"/>
      <c r="K73" s="46"/>
      <c r="L73" s="50">
        <f>L76+L79</f>
        <v>0</v>
      </c>
      <c r="M73" s="50">
        <f>M76+M79</f>
        <v>0</v>
      </c>
      <c r="N73" s="50">
        <f>N76+N79</f>
        <v>0</v>
      </c>
      <c r="O73" s="50">
        <f>IF(L73&gt;0,N73*100/L73,0)</f>
        <v>0</v>
      </c>
      <c r="P73" s="50">
        <f>IF(M73&gt;0,N73*100/M73,0)</f>
        <v>0</v>
      </c>
    </row>
    <row r="74" spans="1:16" ht="18.75" hidden="1" x14ac:dyDescent="0.25">
      <c r="A74" s="136"/>
      <c r="B74" s="41"/>
      <c r="C74" s="41"/>
      <c r="D74" s="41"/>
      <c r="E74" s="254" t="s">
        <v>19</v>
      </c>
      <c r="F74" s="41"/>
      <c r="G74" s="43"/>
      <c r="H74" s="142" t="s">
        <v>12</v>
      </c>
      <c r="I74" s="45"/>
      <c r="J74" s="45"/>
      <c r="K74" s="46"/>
      <c r="L74" s="47">
        <f ca="1">L77+L80</f>
        <v>0</v>
      </c>
      <c r="M74" s="47">
        <f ca="1">M77+M80</f>
        <v>0</v>
      </c>
      <c r="N74" s="47">
        <f ca="1">N77+N80</f>
        <v>0</v>
      </c>
      <c r="O74" s="47">
        <f ca="1">IF(L74&gt;0,N74*100/L74,0)</f>
        <v>0</v>
      </c>
      <c r="P74" s="47">
        <f ca="1">IF(M74&gt;0,N74*100/M74,0)</f>
        <v>0</v>
      </c>
    </row>
    <row r="75" spans="1:16" ht="18.75" hidden="1" x14ac:dyDescent="0.25">
      <c r="A75" s="136"/>
      <c r="B75" s="41"/>
      <c r="C75" s="41"/>
      <c r="D75" s="42" t="s">
        <v>20</v>
      </c>
      <c r="E75" s="41"/>
      <c r="F75" s="41"/>
      <c r="G75" s="43"/>
      <c r="H75" s="143" t="s">
        <v>12</v>
      </c>
      <c r="I75" s="144"/>
      <c r="J75" s="144"/>
      <c r="K75" s="145"/>
      <c r="L75" s="47">
        <f ca="1">L76+L77</f>
        <v>0</v>
      </c>
      <c r="M75" s="47">
        <f ca="1">M76+M77</f>
        <v>0</v>
      </c>
      <c r="N75" s="47">
        <f ca="1">N76+N77</f>
        <v>0</v>
      </c>
      <c r="O75" s="47">
        <f ca="1">IF(L75&gt;0,N75*100/L75,0)</f>
        <v>0</v>
      </c>
      <c r="P75" s="47">
        <f ca="1">IF(M75&gt;0,N75*100/M75,0)</f>
        <v>0</v>
      </c>
    </row>
    <row r="76" spans="1:16" ht="18.75" hidden="1" x14ac:dyDescent="0.25">
      <c r="A76" s="136"/>
      <c r="B76" s="41"/>
      <c r="C76" s="41"/>
      <c r="D76" s="41"/>
      <c r="E76" s="279" t="s">
        <v>34</v>
      </c>
      <c r="F76" s="41"/>
      <c r="G76" s="43"/>
      <c r="H76" s="146" t="s">
        <v>12</v>
      </c>
      <c r="I76" s="144"/>
      <c r="J76" s="144"/>
      <c r="K76" s="145"/>
      <c r="L76" s="50">
        <v>0</v>
      </c>
      <c r="M76" s="50">
        <v>0</v>
      </c>
      <c r="N76" s="50">
        <v>0</v>
      </c>
      <c r="O76" s="50">
        <f>IF(L76&gt;0,N76*100/L76,0)</f>
        <v>0</v>
      </c>
      <c r="P76" s="50">
        <f>IF(M76&gt;0,N76*100/M76,0)</f>
        <v>0</v>
      </c>
    </row>
    <row r="77" spans="1:16" ht="18.75" hidden="1" x14ac:dyDescent="0.25">
      <c r="A77" s="136"/>
      <c r="B77" s="41"/>
      <c r="C77" s="41"/>
      <c r="D77" s="41"/>
      <c r="E77" s="254" t="s">
        <v>35</v>
      </c>
      <c r="F77" s="41"/>
      <c r="G77" s="43"/>
      <c r="H77" s="143" t="s">
        <v>12</v>
      </c>
      <c r="I77" s="144"/>
      <c r="J77" s="144"/>
      <c r="K77" s="145"/>
      <c r="L77" s="47">
        <f ca="1">IFERROR(__xludf.DUMMYFUNCTION("IMPORTRANGE(""https://docs.google.com/spreadsheets/d/1-uDff_7J0KD5mKrp0Vvzr7lt3OU09vwQwhkpOPPYv2Y/edit?usp=sharing"",""งบพรบ!AM28"")"),0)</f>
        <v>0</v>
      </c>
      <c r="M77" s="47">
        <f ca="1">IFERROR(__xludf.DUMMYFUNCTION("IMPORTRANGE(""https://docs.google.com/spreadsheets/d/1-uDff_7J0KD5mKrp0Vvzr7lt3OU09vwQwhkpOPPYv2Y/edit?usp=sharing"",""งบพรบ!AR28"")"),0)</f>
        <v>0</v>
      </c>
      <c r="N77" s="47">
        <f ca="1">IFERROR(__xludf.DUMMYFUNCTION("IMPORTRANGE(""https://docs.google.com/spreadsheets/d/1-uDff_7J0KD5mKrp0Vvzr7lt3OU09vwQwhkpOPPYv2Y/edit?usp=sharing"",""งบพรบ!AT28"")"),0)</f>
        <v>0</v>
      </c>
      <c r="O77" s="47">
        <f ca="1">IF(L77&gt;0,N77*100/L77,0)</f>
        <v>0</v>
      </c>
      <c r="P77" s="47">
        <f ca="1">IF(M77&gt;0,N77*100/M77,0)</f>
        <v>0</v>
      </c>
    </row>
    <row r="78" spans="1:16" ht="18.75" hidden="1" x14ac:dyDescent="0.25">
      <c r="A78" s="136"/>
      <c r="B78" s="41"/>
      <c r="C78" s="41"/>
      <c r="D78" s="42" t="s">
        <v>21</v>
      </c>
      <c r="E78" s="41"/>
      <c r="F78" s="41"/>
      <c r="G78" s="43"/>
      <c r="H78" s="147" t="s">
        <v>12</v>
      </c>
      <c r="I78" s="144"/>
      <c r="J78" s="144"/>
      <c r="K78" s="145"/>
      <c r="L78" s="47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</row>
    <row r="79" spans="1:16" ht="18.75" hidden="1" x14ac:dyDescent="0.25">
      <c r="A79" s="136"/>
      <c r="B79" s="41"/>
      <c r="C79" s="41"/>
      <c r="D79" s="41"/>
      <c r="E79" s="279" t="s">
        <v>18</v>
      </c>
      <c r="F79" s="41"/>
      <c r="G79" s="43"/>
      <c r="H79" s="146" t="s">
        <v>12</v>
      </c>
      <c r="I79" s="144"/>
      <c r="J79" s="144"/>
      <c r="K79" s="145"/>
      <c r="L79" s="50">
        <v>0</v>
      </c>
      <c r="M79" s="46"/>
      <c r="N79" s="46"/>
      <c r="O79" s="50">
        <f>IF(L79&gt;0,N79*100/L79,0)</f>
        <v>0</v>
      </c>
      <c r="P79" s="50">
        <f>IF(M79&gt;0,N79*100/M79,0)</f>
        <v>0</v>
      </c>
    </row>
    <row r="80" spans="1:16" ht="18.75" hidden="1" x14ac:dyDescent="0.25">
      <c r="A80" s="136"/>
      <c r="B80" s="41"/>
      <c r="C80" s="41"/>
      <c r="D80" s="41"/>
      <c r="E80" s="254" t="s">
        <v>19</v>
      </c>
      <c r="F80" s="41"/>
      <c r="G80" s="43"/>
      <c r="H80" s="147" t="s">
        <v>12</v>
      </c>
      <c r="I80" s="144"/>
      <c r="J80" s="144"/>
      <c r="K80" s="145"/>
      <c r="L80" s="47">
        <f ca="1">IFERROR(__xludf.DUMMYFUNCTION("IMPORTRANGE(""https://docs.google.com/spreadsheets/d/1-uDff_7J0KD5mKrp0Vvzr7lt3OU09vwQwhkpOPPYv2Y/edit?usp=sharing"",""งบพรบ!AP28"")"),0)</f>
        <v>0</v>
      </c>
      <c r="M80" s="47">
        <f ca="1">IFERROR(__xludf.DUMMYFUNCTION("IMPORTRANGE(""https://docs.google.com/spreadsheets/d/1-uDff_7J0KD5mKrp0Vvzr7lt3OU09vwQwhkpOPPYv2Y/edit?usp=sharing"",""งบพรบ!AS28"")"),0)</f>
        <v>0</v>
      </c>
      <c r="N80" s="47">
        <f ca="1">IFERROR(__xludf.DUMMYFUNCTION("IMPORTRANGE(""https://docs.google.com/spreadsheets/d/1-uDff_7J0KD5mKrp0Vvzr7lt3OU09vwQwhkpOPPYv2Y/edit?usp=sharing"",""งบพรบ!AU28"")"),0)</f>
        <v>0</v>
      </c>
      <c r="O80" s="47">
        <f ca="1">IF(L80&gt;0,N80*100/L80,0)</f>
        <v>0</v>
      </c>
      <c r="P80" s="47">
        <f ca="1">IF(M80&gt;0,N80*100/M80,0)</f>
        <v>0</v>
      </c>
    </row>
    <row r="81" spans="1:16" ht="19.5" hidden="1" x14ac:dyDescent="0.3">
      <c r="A81" s="148"/>
      <c r="B81" s="149"/>
      <c r="C81" s="197" t="s">
        <v>16</v>
      </c>
      <c r="D81" s="395" t="s">
        <v>36</v>
      </c>
      <c r="E81" s="151"/>
      <c r="F81" s="151"/>
      <c r="G81" s="152"/>
      <c r="H81" s="153"/>
      <c r="I81" s="144"/>
      <c r="J81" s="144"/>
      <c r="K81" s="145"/>
      <c r="L81" s="145"/>
      <c r="M81" s="145"/>
      <c r="N81" s="145"/>
      <c r="O81" s="145"/>
      <c r="P81" s="145"/>
    </row>
    <row r="82" spans="1:16" ht="19.5" hidden="1" x14ac:dyDescent="0.3">
      <c r="A82" s="148"/>
      <c r="B82" s="149"/>
      <c r="C82" s="149"/>
      <c r="D82" s="154" t="s">
        <v>37</v>
      </c>
      <c r="E82" s="155"/>
      <c r="F82" s="155"/>
      <c r="G82" s="153"/>
      <c r="H82" s="156" t="s">
        <v>32</v>
      </c>
      <c r="I82" s="157">
        <f ca="1">I84+I86+I88</f>
        <v>0</v>
      </c>
      <c r="J82" s="157">
        <f>J84+J86+J88</f>
        <v>0</v>
      </c>
      <c r="K82" s="158">
        <f ca="1">IF(I82&gt;0,J82*100/I82,0)</f>
        <v>0</v>
      </c>
      <c r="L82" s="145"/>
      <c r="M82" s="145"/>
      <c r="N82" s="145"/>
      <c r="O82" s="145"/>
      <c r="P82" s="145"/>
    </row>
    <row r="83" spans="1:16" ht="19.5" hidden="1" x14ac:dyDescent="0.3">
      <c r="A83" s="148"/>
      <c r="B83" s="149"/>
      <c r="C83" s="149"/>
      <c r="D83" s="149"/>
      <c r="E83" s="155"/>
      <c r="F83" s="155"/>
      <c r="G83" s="153"/>
      <c r="H83" s="156" t="s">
        <v>33</v>
      </c>
      <c r="I83" s="157">
        <f ca="1">I85+I87+I89</f>
        <v>0</v>
      </c>
      <c r="J83" s="157">
        <f>J85+J87+J89</f>
        <v>0</v>
      </c>
      <c r="K83" s="158">
        <f ca="1">IF(I83&gt;0,J83*100/I83,0)</f>
        <v>0</v>
      </c>
      <c r="L83" s="145"/>
      <c r="M83" s="145"/>
      <c r="N83" s="145"/>
      <c r="O83" s="145"/>
      <c r="P83" s="145"/>
    </row>
    <row r="84" spans="1:16" ht="18.75" hidden="1" x14ac:dyDescent="0.25">
      <c r="A84" s="148"/>
      <c r="B84" s="149"/>
      <c r="C84" s="149"/>
      <c r="D84" s="149"/>
      <c r="E84" s="159" t="s">
        <v>38</v>
      </c>
      <c r="F84" s="155"/>
      <c r="G84" s="153"/>
      <c r="H84" s="251" t="s">
        <v>32</v>
      </c>
      <c r="I84" s="161">
        <f ca="1">IFERROR(__xludf.DUMMYFUNCTION("IMPORTRANGE(""https://docs.google.com/spreadsheets/d/1eHaY18a8A9IcSdp1K8H6x8fbOy06t2VsZHhMHf-1x7Y/edit?usp=sharing"",""แผน!H28"")"),0)</f>
        <v>0</v>
      </c>
      <c r="J84" s="250">
        <v>0</v>
      </c>
      <c r="K84" s="163">
        <f ca="1">IF(I84&gt;0,J84*100/I84,0)</f>
        <v>0</v>
      </c>
      <c r="L84" s="145"/>
      <c r="M84" s="145"/>
      <c r="N84" s="145"/>
      <c r="O84" s="145"/>
      <c r="P84" s="145"/>
    </row>
    <row r="85" spans="1:16" ht="18.75" hidden="1" x14ac:dyDescent="0.25">
      <c r="A85" s="148"/>
      <c r="B85" s="149"/>
      <c r="C85" s="149"/>
      <c r="D85" s="149"/>
      <c r="E85" s="155"/>
      <c r="F85" s="155"/>
      <c r="G85" s="153"/>
      <c r="H85" s="251" t="s">
        <v>33</v>
      </c>
      <c r="I85" s="161">
        <f ca="1">IFERROR(__xludf.DUMMYFUNCTION("IMPORTRANGE(""https://docs.google.com/spreadsheets/d/1eHaY18a8A9IcSdp1K8H6x8fbOy06t2VsZHhMHf-1x7Y/edit?usp=sharing"",""แผน!I28"")"),0)</f>
        <v>0</v>
      </c>
      <c r="J85" s="250">
        <v>0</v>
      </c>
      <c r="K85" s="163">
        <f ca="1">IF(I85&gt;0,J85*100/I85,0)</f>
        <v>0</v>
      </c>
      <c r="L85" s="145"/>
      <c r="M85" s="145"/>
      <c r="N85" s="145"/>
      <c r="O85" s="145"/>
      <c r="P85" s="145"/>
    </row>
    <row r="86" spans="1:16" ht="18.75" hidden="1" x14ac:dyDescent="0.25">
      <c r="A86" s="148"/>
      <c r="B86" s="149"/>
      <c r="C86" s="149"/>
      <c r="D86" s="149"/>
      <c r="E86" s="159" t="s">
        <v>39</v>
      </c>
      <c r="F86" s="155"/>
      <c r="G86" s="153"/>
      <c r="H86" s="251" t="s">
        <v>32</v>
      </c>
      <c r="I86" s="161">
        <f ca="1">IFERROR(__xludf.DUMMYFUNCTION("IMPORTRANGE(""https://docs.google.com/spreadsheets/d/1eHaY18a8A9IcSdp1K8H6x8fbOy06t2VsZHhMHf-1x7Y/edit?usp=sharing"",""แผน!F28"")"),0)</f>
        <v>0</v>
      </c>
      <c r="J86" s="250">
        <v>0</v>
      </c>
      <c r="K86" s="163">
        <f ca="1">IF(I86&gt;0,J86*100/I86,0)</f>
        <v>0</v>
      </c>
      <c r="L86" s="145"/>
      <c r="M86" s="145"/>
      <c r="N86" s="145"/>
      <c r="O86" s="145"/>
      <c r="P86" s="145"/>
    </row>
    <row r="87" spans="1:16" ht="18.75" hidden="1" x14ac:dyDescent="0.25">
      <c r="A87" s="148"/>
      <c r="B87" s="149"/>
      <c r="C87" s="149"/>
      <c r="D87" s="149"/>
      <c r="E87" s="155"/>
      <c r="F87" s="155"/>
      <c r="G87" s="153"/>
      <c r="H87" s="251" t="s">
        <v>33</v>
      </c>
      <c r="I87" s="161">
        <f ca="1">IFERROR(__xludf.DUMMYFUNCTION("IMPORTRANGE(""https://docs.google.com/spreadsheets/d/1eHaY18a8A9IcSdp1K8H6x8fbOy06t2VsZHhMHf-1x7Y/edit?usp=sharing"",""แผน!G28"")"),0)</f>
        <v>0</v>
      </c>
      <c r="J87" s="250">
        <v>0</v>
      </c>
      <c r="K87" s="163">
        <f ca="1">IF(I87&gt;0,J87*100/I87,0)</f>
        <v>0</v>
      </c>
      <c r="L87" s="145"/>
      <c r="M87" s="145"/>
      <c r="N87" s="145"/>
      <c r="O87" s="145"/>
      <c r="P87" s="145"/>
    </row>
    <row r="88" spans="1:16" ht="18.75" hidden="1" x14ac:dyDescent="0.25">
      <c r="A88" s="148"/>
      <c r="B88" s="149"/>
      <c r="C88" s="149"/>
      <c r="D88" s="149"/>
      <c r="E88" s="159" t="s">
        <v>40</v>
      </c>
      <c r="F88" s="155"/>
      <c r="G88" s="153"/>
      <c r="H88" s="251" t="s">
        <v>32</v>
      </c>
      <c r="I88" s="161">
        <f ca="1">IFERROR(__xludf.DUMMYFUNCTION("IMPORTRANGE(""https://docs.google.com/spreadsheets/d/1eHaY18a8A9IcSdp1K8H6x8fbOy06t2VsZHhMHf-1x7Y/edit?usp=sharing"",""แผน!D28"")"),0)</f>
        <v>0</v>
      </c>
      <c r="J88" s="250">
        <v>0</v>
      </c>
      <c r="K88" s="163">
        <f ca="1">IF(I88&gt;0,J88*100/I88,0)</f>
        <v>0</v>
      </c>
      <c r="L88" s="145"/>
      <c r="M88" s="145"/>
      <c r="N88" s="145"/>
      <c r="O88" s="145"/>
      <c r="P88" s="145"/>
    </row>
    <row r="89" spans="1:16" ht="18.75" hidden="1" x14ac:dyDescent="0.25">
      <c r="A89" s="148"/>
      <c r="B89" s="149"/>
      <c r="C89" s="149"/>
      <c r="D89" s="149"/>
      <c r="E89" s="155"/>
      <c r="F89" s="155"/>
      <c r="G89" s="153"/>
      <c r="H89" s="251" t="s">
        <v>33</v>
      </c>
      <c r="I89" s="161">
        <f ca="1">IFERROR(__xludf.DUMMYFUNCTION("IMPORTRANGE(""https://docs.google.com/spreadsheets/d/1eHaY18a8A9IcSdp1K8H6x8fbOy06t2VsZHhMHf-1x7Y/edit?usp=sharing"",""แผน!E28"")"),0)</f>
        <v>0</v>
      </c>
      <c r="J89" s="250">
        <v>0</v>
      </c>
      <c r="K89" s="163">
        <f ca="1">IF(I89&gt;0,J89*100/I89,0)</f>
        <v>0</v>
      </c>
      <c r="L89" s="145"/>
      <c r="M89" s="145"/>
      <c r="N89" s="145"/>
      <c r="O89" s="145"/>
      <c r="P89" s="145"/>
    </row>
    <row r="90" spans="1:16" ht="18.75" hidden="1" x14ac:dyDescent="0.25">
      <c r="A90" s="148"/>
      <c r="B90" s="149"/>
      <c r="C90" s="149"/>
      <c r="D90" s="154" t="s">
        <v>41</v>
      </c>
      <c r="E90" s="155"/>
      <c r="F90" s="155"/>
      <c r="G90" s="153"/>
      <c r="H90" s="164" t="s">
        <v>32</v>
      </c>
      <c r="I90" s="161">
        <f ca="1">IFERROR(__xludf.DUMMYFUNCTION("IMPORTRANGE(""https://docs.google.com/spreadsheets/d/1eHaY18a8A9IcSdp1K8H6x8fbOy06t2VsZHhMHf-1x7Y/edit?usp=sharing"",""แผน!J28"")"),0)</f>
        <v>0</v>
      </c>
      <c r="J90" s="250">
        <v>0</v>
      </c>
      <c r="K90" s="163">
        <f ca="1">IF(I90&gt;0,J90*100/I90,0)</f>
        <v>0</v>
      </c>
      <c r="L90" s="145"/>
      <c r="M90" s="145"/>
      <c r="N90" s="145"/>
      <c r="O90" s="145"/>
      <c r="P90" s="145"/>
    </row>
    <row r="91" spans="1:16" ht="19.5" hidden="1" x14ac:dyDescent="0.3">
      <c r="A91" s="125" t="s">
        <v>42</v>
      </c>
      <c r="B91" s="126"/>
      <c r="C91" s="127"/>
      <c r="D91" s="126"/>
      <c r="E91" s="126"/>
      <c r="F91" s="126"/>
      <c r="G91" s="128"/>
      <c r="H91" s="128"/>
      <c r="I91" s="129"/>
      <c r="J91" s="129"/>
      <c r="K91" s="130"/>
      <c r="L91" s="130"/>
      <c r="M91" s="130"/>
      <c r="N91" s="130"/>
      <c r="O91" s="130"/>
      <c r="P91" s="130"/>
    </row>
    <row r="92" spans="1:16" ht="19.5" hidden="1" x14ac:dyDescent="0.3">
      <c r="A92" s="131"/>
      <c r="B92" s="132" t="s">
        <v>43</v>
      </c>
      <c r="C92" s="26"/>
      <c r="D92" s="133"/>
      <c r="E92" s="26"/>
      <c r="F92" s="26"/>
      <c r="G92" s="29"/>
      <c r="H92" s="134" t="s">
        <v>44</v>
      </c>
      <c r="I92" s="135">
        <f ca="1">I108</f>
        <v>0</v>
      </c>
      <c r="J92" s="135">
        <f>J108</f>
        <v>0</v>
      </c>
      <c r="K92" s="33">
        <f ca="1">IF(I92&gt;0,J92*100/I92,0)</f>
        <v>0</v>
      </c>
      <c r="L92" s="32"/>
      <c r="M92" s="32"/>
      <c r="N92" s="32"/>
      <c r="O92" s="32"/>
      <c r="P92" s="32"/>
    </row>
    <row r="93" spans="1:16" ht="19.5" hidden="1" x14ac:dyDescent="0.3">
      <c r="A93" s="131"/>
      <c r="B93" s="26"/>
      <c r="C93" s="26"/>
      <c r="D93" s="133"/>
      <c r="E93" s="26"/>
      <c r="F93" s="26"/>
      <c r="G93" s="29"/>
      <c r="H93" s="134" t="s">
        <v>33</v>
      </c>
      <c r="I93" s="135">
        <f ca="1">I109</f>
        <v>0</v>
      </c>
      <c r="J93" s="135">
        <f>J109</f>
        <v>0</v>
      </c>
      <c r="K93" s="33">
        <f ca="1">IF(I93&gt;0,J93*100/I93,0)</f>
        <v>0</v>
      </c>
      <c r="L93" s="32"/>
      <c r="M93" s="32"/>
      <c r="N93" s="32"/>
      <c r="O93" s="32"/>
      <c r="P93" s="32"/>
    </row>
    <row r="94" spans="1:16" ht="19.5" hidden="1" x14ac:dyDescent="0.3">
      <c r="A94" s="136"/>
      <c r="B94" s="41"/>
      <c r="C94" s="197" t="s">
        <v>16</v>
      </c>
      <c r="D94" s="397" t="s">
        <v>17</v>
      </c>
      <c r="E94" s="41"/>
      <c r="F94" s="41"/>
      <c r="G94" s="43"/>
      <c r="H94" s="139" t="s">
        <v>12</v>
      </c>
      <c r="I94" s="45"/>
      <c r="J94" s="45"/>
      <c r="K94" s="46"/>
      <c r="L94" s="140">
        <f ca="1">L95+L96</f>
        <v>0</v>
      </c>
      <c r="M94" s="140">
        <f ca="1">M95+M96</f>
        <v>0</v>
      </c>
      <c r="N94" s="140">
        <f ca="1">N95+N96</f>
        <v>0</v>
      </c>
      <c r="O94" s="140">
        <f ca="1">IF(L94&gt;0,N94*100/L94,0)</f>
        <v>0</v>
      </c>
      <c r="P94" s="140">
        <f ca="1">IF(M94&gt;0,N94*100/M94,0)</f>
        <v>0</v>
      </c>
    </row>
    <row r="95" spans="1:16" ht="18.75" hidden="1" x14ac:dyDescent="0.25">
      <c r="A95" s="136"/>
      <c r="B95" s="41"/>
      <c r="C95" s="41"/>
      <c r="D95" s="41"/>
      <c r="E95" s="279" t="s">
        <v>18</v>
      </c>
      <c r="F95" s="41"/>
      <c r="G95" s="43"/>
      <c r="H95" s="141" t="s">
        <v>12</v>
      </c>
      <c r="I95" s="45"/>
      <c r="J95" s="45"/>
      <c r="K95" s="46"/>
      <c r="L95" s="50">
        <f>L98+L101</f>
        <v>0</v>
      </c>
      <c r="M95" s="50">
        <f>M98+M101</f>
        <v>0</v>
      </c>
      <c r="N95" s="50">
        <f>N98+N101</f>
        <v>0</v>
      </c>
      <c r="O95" s="50">
        <f>IF(L95&gt;0,N95*100/L95,0)</f>
        <v>0</v>
      </c>
      <c r="P95" s="50">
        <f>IF(M95&gt;0,N95*100/M95,0)</f>
        <v>0</v>
      </c>
    </row>
    <row r="96" spans="1:16" ht="18.75" hidden="1" x14ac:dyDescent="0.25">
      <c r="A96" s="136"/>
      <c r="B96" s="41"/>
      <c r="C96" s="41"/>
      <c r="D96" s="41"/>
      <c r="E96" s="254" t="s">
        <v>19</v>
      </c>
      <c r="F96" s="41"/>
      <c r="G96" s="43"/>
      <c r="H96" s="142" t="s">
        <v>12</v>
      </c>
      <c r="I96" s="45"/>
      <c r="J96" s="45"/>
      <c r="K96" s="46"/>
      <c r="L96" s="47">
        <f ca="1">L99+L102</f>
        <v>0</v>
      </c>
      <c r="M96" s="47">
        <f ca="1">M99+M102</f>
        <v>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</row>
    <row r="97" spans="1:16" ht="18.75" hidden="1" x14ac:dyDescent="0.25">
      <c r="A97" s="136"/>
      <c r="B97" s="41"/>
      <c r="C97" s="41"/>
      <c r="D97" s="42" t="s">
        <v>20</v>
      </c>
      <c r="E97" s="41"/>
      <c r="F97" s="41"/>
      <c r="G97" s="43"/>
      <c r="H97" s="143" t="s">
        <v>12</v>
      </c>
      <c r="I97" s="144"/>
      <c r="J97" s="144"/>
      <c r="K97" s="145"/>
      <c r="L97" s="47">
        <f ca="1">L98+L99</f>
        <v>0</v>
      </c>
      <c r="M97" s="47">
        <f ca="1">M98+M99</f>
        <v>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</row>
    <row r="98" spans="1:16" ht="18.75" hidden="1" x14ac:dyDescent="0.25">
      <c r="A98" s="136"/>
      <c r="B98" s="41"/>
      <c r="C98" s="41"/>
      <c r="D98" s="41"/>
      <c r="E98" s="279" t="s">
        <v>34</v>
      </c>
      <c r="F98" s="41"/>
      <c r="G98" s="43"/>
      <c r="H98" s="146" t="s">
        <v>12</v>
      </c>
      <c r="I98" s="144"/>
      <c r="J98" s="144"/>
      <c r="K98" s="145"/>
      <c r="L98" s="50">
        <v>0</v>
      </c>
      <c r="M98" s="50">
        <v>0</v>
      </c>
      <c r="N98" s="50">
        <v>0</v>
      </c>
      <c r="O98" s="50">
        <f>IF(L98&gt;0,N98*100/L98,0)</f>
        <v>0</v>
      </c>
      <c r="P98" s="50">
        <f>IF(M98&gt;0,N98*100/M98,0)</f>
        <v>0</v>
      </c>
    </row>
    <row r="99" spans="1:16" ht="18.75" hidden="1" x14ac:dyDescent="0.25">
      <c r="A99" s="136"/>
      <c r="B99" s="41"/>
      <c r="C99" s="41"/>
      <c r="D99" s="41"/>
      <c r="E99" s="254" t="s">
        <v>35</v>
      </c>
      <c r="F99" s="41"/>
      <c r="G99" s="43"/>
      <c r="H99" s="143" t="s">
        <v>12</v>
      </c>
      <c r="I99" s="144"/>
      <c r="J99" s="144"/>
      <c r="K99" s="145"/>
      <c r="L99" s="47">
        <f ca="1">IFERROR(__xludf.DUMMYFUNCTION("IMPORTRANGE(""https://docs.google.com/spreadsheets/d/1-uDff_7J0KD5mKrp0Vvzr7lt3OU09vwQwhkpOPPYv2Y/edit?usp=sharing"",""งบพรบ!AW28"")"),0)</f>
        <v>0</v>
      </c>
      <c r="M99" s="47">
        <f ca="1">IFERROR(__xludf.DUMMYFUNCTION("IMPORTRANGE(""https://docs.google.com/spreadsheets/d/1-uDff_7J0KD5mKrp0Vvzr7lt3OU09vwQwhkpOPPYv2Y/edit?usp=sharing"",""งบพรบ!BB28"")"),0)</f>
        <v>0</v>
      </c>
      <c r="N99" s="47">
        <f ca="1">IFERROR(__xludf.DUMMYFUNCTION("IMPORTRANGE(""https://docs.google.com/spreadsheets/d/1-uDff_7J0KD5mKrp0Vvzr7lt3OU09vwQwhkpOPPYv2Y/edit?usp=sharing"",""งบพรบ!BD28"")"),0)</f>
        <v>0</v>
      </c>
      <c r="O99" s="47">
        <f ca="1">IF(L99&gt;0,N99*100/L99,0)</f>
        <v>0</v>
      </c>
      <c r="P99" s="47">
        <f ca="1">IF(M99&gt;0,N99*100/M99,0)</f>
        <v>0</v>
      </c>
    </row>
    <row r="100" spans="1:16" ht="18.75" hidden="1" x14ac:dyDescent="0.25">
      <c r="A100" s="136"/>
      <c r="B100" s="41"/>
      <c r="C100" s="41"/>
      <c r="D100" s="42" t="s">
        <v>21</v>
      </c>
      <c r="E100" s="41"/>
      <c r="F100" s="41"/>
      <c r="G100" s="43"/>
      <c r="H100" s="147" t="s">
        <v>12</v>
      </c>
      <c r="I100" s="144"/>
      <c r="J100" s="144"/>
      <c r="K100" s="145"/>
      <c r="L100" s="47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</row>
    <row r="101" spans="1:16" ht="18.75" hidden="1" x14ac:dyDescent="0.25">
      <c r="A101" s="136"/>
      <c r="B101" s="41"/>
      <c r="C101" s="41"/>
      <c r="D101" s="41"/>
      <c r="E101" s="279" t="s">
        <v>18</v>
      </c>
      <c r="F101" s="41"/>
      <c r="G101" s="43"/>
      <c r="H101" s="146" t="s">
        <v>12</v>
      </c>
      <c r="I101" s="144"/>
      <c r="J101" s="144"/>
      <c r="K101" s="145"/>
      <c r="L101" s="50">
        <v>0</v>
      </c>
      <c r="M101" s="50">
        <v>0</v>
      </c>
      <c r="N101" s="50">
        <v>0</v>
      </c>
      <c r="O101" s="50">
        <f>IF(L101&gt;0,N101*100/L101,0)</f>
        <v>0</v>
      </c>
      <c r="P101" s="50">
        <f>IF(M101&gt;0,N101*100/M101,0)</f>
        <v>0</v>
      </c>
    </row>
    <row r="102" spans="1:16" ht="18.75" hidden="1" x14ac:dyDescent="0.25">
      <c r="A102" s="136"/>
      <c r="B102" s="41"/>
      <c r="C102" s="41"/>
      <c r="D102" s="41"/>
      <c r="E102" s="254" t="s">
        <v>19</v>
      </c>
      <c r="F102" s="41"/>
      <c r="G102" s="43"/>
      <c r="H102" s="147" t="s">
        <v>12</v>
      </c>
      <c r="I102" s="144"/>
      <c r="J102" s="144"/>
      <c r="K102" s="145"/>
      <c r="L102" s="47">
        <f ca="1">IFERROR(__xludf.DUMMYFUNCTION("IMPORTRANGE(""https://docs.google.com/spreadsheets/d/1-uDff_7J0KD5mKrp0Vvzr7lt3OU09vwQwhkpOPPYv2Y/edit?usp=sharing"",""งบพรบ!AZ28"")"),0)</f>
        <v>0</v>
      </c>
      <c r="M102" s="47">
        <f ca="1">IFERROR(__xludf.DUMMYFUNCTION("IMPORTRANGE(""https://docs.google.com/spreadsheets/d/1-uDff_7J0KD5mKrp0Vvzr7lt3OU09vwQwhkpOPPYv2Y/edit?usp=sharing"",""งบพรบ!BC28"")"),0)</f>
        <v>0</v>
      </c>
      <c r="N102" s="47">
        <f ca="1">IFERROR(__xludf.DUMMYFUNCTION("IMPORTRANGE(""https://docs.google.com/spreadsheets/d/1-uDff_7J0KD5mKrp0Vvzr7lt3OU09vwQwhkpOPPYv2Y/edit?usp=sharing"",""งบพรบ!BE28"")"),0)</f>
        <v>0</v>
      </c>
      <c r="O102" s="47">
        <f ca="1">IF(L102&gt;0,N102*100/L102,0)</f>
        <v>0</v>
      </c>
      <c r="P102" s="47">
        <f ca="1">IF(M102&gt;0,N102*100/M102,0)</f>
        <v>0</v>
      </c>
    </row>
    <row r="103" spans="1:16" ht="19.5" hidden="1" x14ac:dyDescent="0.3">
      <c r="A103" s="148"/>
      <c r="B103" s="149"/>
      <c r="C103" s="197" t="s">
        <v>16</v>
      </c>
      <c r="D103" s="395" t="s">
        <v>36</v>
      </c>
      <c r="E103" s="151"/>
      <c r="F103" s="151"/>
      <c r="G103" s="152"/>
      <c r="H103" s="153"/>
      <c r="I103" s="144"/>
      <c r="J103" s="45"/>
      <c r="K103" s="46"/>
      <c r="L103" s="46"/>
      <c r="M103" s="46"/>
      <c r="N103" s="46"/>
      <c r="O103" s="145"/>
      <c r="P103" s="145"/>
    </row>
    <row r="104" spans="1:16" ht="12.75" hidden="1" x14ac:dyDescent="0.2">
      <c r="A104" s="165"/>
      <c r="B104" s="166"/>
      <c r="C104" s="166"/>
      <c r="D104" s="16"/>
      <c r="E104" s="16"/>
      <c r="F104" s="16"/>
      <c r="G104" s="17"/>
      <c r="H104" s="17"/>
      <c r="I104" s="18"/>
      <c r="J104" s="18"/>
      <c r="K104" s="19"/>
      <c r="L104" s="19"/>
      <c r="M104" s="19"/>
      <c r="N104" s="19"/>
      <c r="O104" s="19"/>
      <c r="P104" s="19"/>
    </row>
    <row r="105" spans="1:16" ht="12.75" hidden="1" x14ac:dyDescent="0.2">
      <c r="A105" s="165"/>
      <c r="B105" s="166"/>
      <c r="C105" s="166"/>
      <c r="D105" s="16"/>
      <c r="E105" s="16"/>
      <c r="F105" s="16"/>
      <c r="G105" s="17"/>
      <c r="H105" s="17"/>
      <c r="I105" s="18"/>
      <c r="J105" s="18"/>
      <c r="K105" s="19"/>
      <c r="L105" s="19"/>
      <c r="M105" s="19"/>
      <c r="N105" s="19"/>
      <c r="O105" s="19"/>
      <c r="P105" s="19"/>
    </row>
    <row r="106" spans="1:16" ht="12.75" hidden="1" x14ac:dyDescent="0.2">
      <c r="A106" s="165"/>
      <c r="B106" s="166"/>
      <c r="C106" s="166"/>
      <c r="D106" s="166"/>
      <c r="E106" s="16"/>
      <c r="F106" s="16"/>
      <c r="G106" s="17"/>
      <c r="H106" s="17"/>
      <c r="I106" s="18"/>
      <c r="J106" s="18"/>
      <c r="K106" s="19"/>
      <c r="L106" s="19"/>
      <c r="M106" s="19"/>
      <c r="N106" s="19"/>
      <c r="O106" s="19"/>
      <c r="P106" s="19"/>
    </row>
    <row r="107" spans="1:16" ht="19.5" hidden="1" x14ac:dyDescent="0.3">
      <c r="A107" s="148"/>
      <c r="B107" s="149"/>
      <c r="C107" s="149"/>
      <c r="D107" s="167" t="s">
        <v>45</v>
      </c>
      <c r="E107" s="168"/>
      <c r="F107" s="155"/>
      <c r="G107" s="153"/>
      <c r="H107" s="43"/>
      <c r="I107" s="45"/>
      <c r="J107" s="45"/>
      <c r="K107" s="46"/>
      <c r="L107" s="46"/>
      <c r="M107" s="46"/>
      <c r="N107" s="46"/>
      <c r="O107" s="145"/>
      <c r="P107" s="145"/>
    </row>
    <row r="108" spans="1:16" ht="18.75" hidden="1" x14ac:dyDescent="0.25">
      <c r="A108" s="148"/>
      <c r="B108" s="149"/>
      <c r="C108" s="149"/>
      <c r="D108" s="159" t="s">
        <v>46</v>
      </c>
      <c r="E108" s="155"/>
      <c r="F108" s="155"/>
      <c r="G108" s="153"/>
      <c r="H108" s="44" t="s">
        <v>44</v>
      </c>
      <c r="I108" s="169">
        <f ca="1">IFERROR(__xludf.DUMMYFUNCTION("IMPORTRANGE(""https://docs.google.com/spreadsheets/d/1eHaY18a8A9IcSdp1K8H6x8fbOy06t2VsZHhMHf-1x7Y/edit?usp=sharing"",""แผน!N28"")"),0)</f>
        <v>0</v>
      </c>
      <c r="J108" s="250">
        <v>0</v>
      </c>
      <c r="K108" s="47">
        <f ca="1">IF(I108&gt;0,J108*100/I108,0)</f>
        <v>0</v>
      </c>
      <c r="L108" s="46"/>
      <c r="M108" s="46"/>
      <c r="N108" s="46"/>
      <c r="O108" s="145"/>
      <c r="P108" s="145"/>
    </row>
    <row r="109" spans="1:16" ht="18.75" hidden="1" x14ac:dyDescent="0.25">
      <c r="A109" s="148"/>
      <c r="B109" s="149"/>
      <c r="C109" s="149"/>
      <c r="D109" s="159" t="s">
        <v>47</v>
      </c>
      <c r="E109" s="155"/>
      <c r="F109" s="155"/>
      <c r="G109" s="153"/>
      <c r="H109" s="44" t="s">
        <v>33</v>
      </c>
      <c r="I109" s="169">
        <f ca="1">IFERROR(__xludf.DUMMYFUNCTION("IMPORTRANGE(""https://docs.google.com/spreadsheets/d/1eHaY18a8A9IcSdp1K8H6x8fbOy06t2VsZHhMHf-1x7Y/edit?usp=sharing"",""แผน!O28"")"),0)</f>
        <v>0</v>
      </c>
      <c r="J109" s="250">
        <v>0</v>
      </c>
      <c r="K109" s="47">
        <f ca="1">IF(I109&gt;0,J109*100/I109,0)</f>
        <v>0</v>
      </c>
      <c r="L109" s="46"/>
      <c r="M109" s="46"/>
      <c r="N109" s="46"/>
      <c r="O109" s="145"/>
      <c r="P109" s="145"/>
    </row>
    <row r="110" spans="1:16" ht="12.75" hidden="1" x14ac:dyDescent="0.2">
      <c r="A110" s="165"/>
      <c r="B110" s="166"/>
      <c r="C110" s="166"/>
      <c r="D110" s="16"/>
      <c r="E110" s="16"/>
      <c r="F110" s="16"/>
      <c r="G110" s="17"/>
      <c r="H110" s="17"/>
      <c r="I110" s="18"/>
      <c r="J110" s="18"/>
      <c r="K110" s="19"/>
      <c r="L110" s="19"/>
      <c r="M110" s="19"/>
      <c r="N110" s="19"/>
      <c r="O110" s="19"/>
      <c r="P110" s="19"/>
    </row>
    <row r="111" spans="1:16" ht="12.75" hidden="1" x14ac:dyDescent="0.2">
      <c r="A111" s="165"/>
      <c r="B111" s="166"/>
      <c r="C111" s="166"/>
      <c r="D111" s="16"/>
      <c r="E111" s="16"/>
      <c r="F111" s="16"/>
      <c r="G111" s="17"/>
      <c r="H111" s="17"/>
      <c r="I111" s="18"/>
      <c r="J111" s="18"/>
      <c r="K111" s="19"/>
      <c r="L111" s="19"/>
      <c r="M111" s="19"/>
      <c r="N111" s="19"/>
      <c r="O111" s="19"/>
      <c r="P111" s="19"/>
    </row>
    <row r="112" spans="1:16" ht="12.75" hidden="1" x14ac:dyDescent="0.2">
      <c r="A112" s="165"/>
      <c r="B112" s="166"/>
      <c r="C112" s="166"/>
      <c r="D112" s="16"/>
      <c r="E112" s="16"/>
      <c r="F112" s="16"/>
      <c r="G112" s="17"/>
      <c r="H112" s="17"/>
      <c r="I112" s="18"/>
      <c r="J112" s="18"/>
      <c r="K112" s="19"/>
      <c r="L112" s="19"/>
      <c r="M112" s="19"/>
      <c r="N112" s="19"/>
      <c r="O112" s="19"/>
      <c r="P112" s="19"/>
    </row>
    <row r="113" spans="1:16" ht="12.75" hidden="1" x14ac:dyDescent="0.2">
      <c r="A113" s="165"/>
      <c r="B113" s="166"/>
      <c r="C113" s="166"/>
      <c r="D113" s="16"/>
      <c r="E113" s="16"/>
      <c r="F113" s="16"/>
      <c r="G113" s="17"/>
      <c r="H113" s="17"/>
      <c r="I113" s="18"/>
      <c r="J113" s="18"/>
      <c r="K113" s="19"/>
      <c r="L113" s="19"/>
      <c r="M113" s="19"/>
      <c r="N113" s="19"/>
      <c r="O113" s="19"/>
      <c r="P113" s="19"/>
    </row>
    <row r="114" spans="1:16" ht="12.75" hidden="1" x14ac:dyDescent="0.2">
      <c r="A114" s="165"/>
      <c r="B114" s="166"/>
      <c r="C114" s="166"/>
      <c r="D114" s="16"/>
      <c r="E114" s="16"/>
      <c r="F114" s="16"/>
      <c r="G114" s="17"/>
      <c r="H114" s="17"/>
      <c r="I114" s="18"/>
      <c r="J114" s="18"/>
      <c r="K114" s="19"/>
      <c r="L114" s="19"/>
      <c r="M114" s="19"/>
      <c r="N114" s="19"/>
      <c r="O114" s="19"/>
      <c r="P114" s="19"/>
    </row>
    <row r="115" spans="1:16" ht="12.75" hidden="1" x14ac:dyDescent="0.2">
      <c r="A115" s="165"/>
      <c r="B115" s="166"/>
      <c r="C115" s="166"/>
      <c r="D115" s="16"/>
      <c r="E115" s="16"/>
      <c r="F115" s="16"/>
      <c r="G115" s="17"/>
      <c r="H115" s="17"/>
      <c r="I115" s="18"/>
      <c r="J115" s="18"/>
      <c r="K115" s="19"/>
      <c r="L115" s="19"/>
      <c r="M115" s="19"/>
      <c r="N115" s="19"/>
      <c r="O115" s="19"/>
      <c r="P115" s="19"/>
    </row>
    <row r="116" spans="1:16" ht="12.75" hidden="1" x14ac:dyDescent="0.2">
      <c r="A116" s="165"/>
      <c r="B116" s="166"/>
      <c r="C116" s="166"/>
      <c r="D116" s="16"/>
      <c r="E116" s="16"/>
      <c r="F116" s="16"/>
      <c r="G116" s="17"/>
      <c r="H116" s="17"/>
      <c r="I116" s="18"/>
      <c r="J116" s="18"/>
      <c r="K116" s="19"/>
      <c r="L116" s="19"/>
      <c r="M116" s="19"/>
      <c r="N116" s="19"/>
      <c r="O116" s="19"/>
      <c r="P116" s="19"/>
    </row>
    <row r="117" spans="1:16" ht="18.75" hidden="1" x14ac:dyDescent="0.25">
      <c r="A117" s="148"/>
      <c r="B117" s="149"/>
      <c r="C117" s="149"/>
      <c r="D117" s="159" t="s">
        <v>48</v>
      </c>
      <c r="E117" s="155"/>
      <c r="F117" s="155"/>
      <c r="G117" s="153"/>
      <c r="H117" s="251" t="s">
        <v>33</v>
      </c>
      <c r="I117" s="161">
        <f ca="1">IFERROR(__xludf.DUMMYFUNCTION("IMPORTRANGE(""https://docs.google.com/spreadsheets/d/1eHaY18a8A9IcSdp1K8H6x8fbOy06t2VsZHhMHf-1x7Y/edit?usp=sharing"",""แผน!R28"")"),0)</f>
        <v>0</v>
      </c>
      <c r="J117" s="250">
        <v>0</v>
      </c>
      <c r="K117" s="47">
        <f ca="1">IF(I117&gt;0,J117*100/I117,0)</f>
        <v>0</v>
      </c>
      <c r="L117" s="46"/>
      <c r="M117" s="46"/>
      <c r="N117" s="46"/>
      <c r="O117" s="145"/>
      <c r="P117" s="145"/>
    </row>
    <row r="118" spans="1:16" ht="12.75" hidden="1" x14ac:dyDescent="0.2">
      <c r="A118" s="165"/>
      <c r="B118" s="166"/>
      <c r="C118" s="166"/>
      <c r="D118" s="166"/>
      <c r="E118" s="16"/>
      <c r="F118" s="16"/>
      <c r="G118" s="17"/>
      <c r="H118" s="17"/>
      <c r="I118" s="18"/>
      <c r="J118" s="18"/>
      <c r="K118" s="19"/>
      <c r="L118" s="19"/>
      <c r="M118" s="19"/>
      <c r="N118" s="19"/>
      <c r="O118" s="19"/>
      <c r="P118" s="19"/>
    </row>
    <row r="119" spans="1:16" ht="12.75" hidden="1" x14ac:dyDescent="0.2">
      <c r="A119" s="165"/>
      <c r="B119" s="166"/>
      <c r="C119" s="166"/>
      <c r="D119" s="166"/>
      <c r="E119" s="16"/>
      <c r="F119" s="16"/>
      <c r="G119" s="17"/>
      <c r="H119" s="17"/>
      <c r="I119" s="18"/>
      <c r="J119" s="18"/>
      <c r="K119" s="19"/>
      <c r="L119" s="19"/>
      <c r="M119" s="19"/>
      <c r="N119" s="19"/>
      <c r="O119" s="19"/>
      <c r="P119" s="19"/>
    </row>
    <row r="120" spans="1:16" ht="12.75" hidden="1" x14ac:dyDescent="0.2">
      <c r="A120" s="165"/>
      <c r="B120" s="166"/>
      <c r="C120" s="166"/>
      <c r="D120" s="166"/>
      <c r="E120" s="16"/>
      <c r="F120" s="16"/>
      <c r="G120" s="17"/>
      <c r="H120" s="17"/>
      <c r="I120" s="18"/>
      <c r="J120" s="18"/>
      <c r="K120" s="19"/>
      <c r="L120" s="19"/>
      <c r="M120" s="19"/>
      <c r="N120" s="19"/>
      <c r="O120" s="19"/>
      <c r="P120" s="19"/>
    </row>
    <row r="121" spans="1:16" ht="12.75" hidden="1" x14ac:dyDescent="0.2">
      <c r="A121" s="165"/>
      <c r="B121" s="166"/>
      <c r="C121" s="166"/>
      <c r="D121" s="166"/>
      <c r="E121" s="16"/>
      <c r="F121" s="16"/>
      <c r="G121" s="17"/>
      <c r="H121" s="17"/>
      <c r="I121" s="18"/>
      <c r="J121" s="18"/>
      <c r="K121" s="19"/>
      <c r="L121" s="19"/>
      <c r="M121" s="19"/>
      <c r="N121" s="19"/>
      <c r="O121" s="19"/>
      <c r="P121" s="19"/>
    </row>
    <row r="122" spans="1:16" ht="12.75" hidden="1" x14ac:dyDescent="0.2">
      <c r="A122" s="165"/>
      <c r="B122" s="166"/>
      <c r="C122" s="166"/>
      <c r="D122" s="166"/>
      <c r="E122" s="16"/>
      <c r="F122" s="16"/>
      <c r="G122" s="17"/>
      <c r="H122" s="17"/>
      <c r="I122" s="18"/>
      <c r="J122" s="18"/>
      <c r="K122" s="19"/>
      <c r="L122" s="19"/>
      <c r="M122" s="19"/>
      <c r="N122" s="19"/>
      <c r="O122" s="19"/>
      <c r="P122" s="19"/>
    </row>
    <row r="123" spans="1:16" ht="19.5" hidden="1" x14ac:dyDescent="0.3">
      <c r="A123" s="170" t="s">
        <v>49</v>
      </c>
      <c r="B123" s="16"/>
      <c r="C123" s="171"/>
      <c r="D123" s="16"/>
      <c r="E123" s="16"/>
      <c r="F123" s="16"/>
      <c r="G123" s="16"/>
      <c r="H123" s="16"/>
      <c r="I123" s="172"/>
      <c r="J123" s="172"/>
      <c r="K123" s="173"/>
      <c r="L123" s="19"/>
      <c r="M123" s="19"/>
      <c r="N123" s="19"/>
      <c r="O123" s="19"/>
      <c r="P123" s="19"/>
    </row>
    <row r="124" spans="1:16" ht="19.5" hidden="1" x14ac:dyDescent="0.3">
      <c r="A124" s="174"/>
      <c r="B124" s="178" t="s">
        <v>50</v>
      </c>
      <c r="C124" s="171"/>
      <c r="D124" s="166"/>
      <c r="E124" s="16"/>
      <c r="F124" s="16"/>
      <c r="G124" s="17"/>
      <c r="H124" s="17"/>
      <c r="I124" s="176">
        <v>0</v>
      </c>
      <c r="J124" s="176">
        <v>0</v>
      </c>
      <c r="K124" s="177">
        <v>0</v>
      </c>
      <c r="L124" s="19"/>
      <c r="M124" s="19"/>
      <c r="N124" s="19"/>
      <c r="O124" s="19"/>
      <c r="P124" s="19"/>
    </row>
    <row r="125" spans="1:16" ht="19.5" hidden="1" x14ac:dyDescent="0.3">
      <c r="A125" s="174"/>
      <c r="B125" s="16"/>
      <c r="C125" s="178" t="s">
        <v>16</v>
      </c>
      <c r="D125" s="402" t="s">
        <v>17</v>
      </c>
      <c r="E125" s="16"/>
      <c r="F125" s="16"/>
      <c r="G125" s="17"/>
      <c r="H125" s="180" t="s">
        <v>12</v>
      </c>
      <c r="I125" s="18"/>
      <c r="J125" s="18"/>
      <c r="K125" s="19"/>
      <c r="L125" s="181">
        <f ca="1">L126+L127</f>
        <v>0</v>
      </c>
      <c r="M125" s="181">
        <f ca="1">M126+M127</f>
        <v>0</v>
      </c>
      <c r="N125" s="181">
        <f ca="1">N126+N127</f>
        <v>0</v>
      </c>
      <c r="O125" s="181">
        <f ca="1">IF(L125&gt;0,N125*100/L125,0)</f>
        <v>0</v>
      </c>
      <c r="P125" s="181">
        <f ca="1">IF(M125&gt;0,N125*100/M125,0)</f>
        <v>0</v>
      </c>
    </row>
    <row r="126" spans="1:16" ht="18.75" hidden="1" x14ac:dyDescent="0.25">
      <c r="A126" s="174"/>
      <c r="B126" s="16"/>
      <c r="C126" s="16"/>
      <c r="D126" s="16"/>
      <c r="E126" s="182" t="s">
        <v>18</v>
      </c>
      <c r="F126" s="16"/>
      <c r="G126" s="17"/>
      <c r="H126" s="183" t="s">
        <v>12</v>
      </c>
      <c r="I126" s="18"/>
      <c r="J126" s="18"/>
      <c r="K126" s="19"/>
      <c r="L126" s="184">
        <f>L129+L132</f>
        <v>0</v>
      </c>
      <c r="M126" s="184">
        <f>M129+M132</f>
        <v>0</v>
      </c>
      <c r="N126" s="184">
        <f>N129+N132</f>
        <v>0</v>
      </c>
      <c r="O126" s="184">
        <f>IF(L126&gt;0,N126*100/L126,0)</f>
        <v>0</v>
      </c>
      <c r="P126" s="184">
        <f>IF(M126&gt;0,N126*100/M126,0)</f>
        <v>0</v>
      </c>
    </row>
    <row r="127" spans="1:16" ht="18.75" hidden="1" x14ac:dyDescent="0.25">
      <c r="A127" s="174"/>
      <c r="B127" s="16"/>
      <c r="C127" s="16"/>
      <c r="D127" s="16"/>
      <c r="E127" s="185" t="s">
        <v>19</v>
      </c>
      <c r="F127" s="16"/>
      <c r="G127" s="17"/>
      <c r="H127" s="186" t="s">
        <v>12</v>
      </c>
      <c r="I127" s="18"/>
      <c r="J127" s="18"/>
      <c r="K127" s="19"/>
      <c r="L127" s="177">
        <f ca="1">L130+L133</f>
        <v>0</v>
      </c>
      <c r="M127" s="177">
        <f ca="1">M130+M133</f>
        <v>0</v>
      </c>
      <c r="N127" s="177">
        <f ca="1">N130+N133</f>
        <v>0</v>
      </c>
      <c r="O127" s="177">
        <f ca="1">IF(L127&gt;0,N127*100/L127,0)</f>
        <v>0</v>
      </c>
      <c r="P127" s="177">
        <f ca="1">IF(M127&gt;0,N127*100/M127,0)</f>
        <v>0</v>
      </c>
    </row>
    <row r="128" spans="1:16" ht="18.75" hidden="1" x14ac:dyDescent="0.25">
      <c r="A128" s="174"/>
      <c r="B128" s="16"/>
      <c r="C128" s="16"/>
      <c r="D128" s="401" t="s">
        <v>20</v>
      </c>
      <c r="E128" s="16"/>
      <c r="F128" s="16"/>
      <c r="G128" s="17"/>
      <c r="H128" s="188" t="s">
        <v>12</v>
      </c>
      <c r="I128" s="18"/>
      <c r="J128" s="18"/>
      <c r="K128" s="19"/>
      <c r="L128" s="177">
        <f ca="1">L129+L130</f>
        <v>0</v>
      </c>
      <c r="M128" s="177">
        <f ca="1">M129+M130</f>
        <v>0</v>
      </c>
      <c r="N128" s="177">
        <f ca="1">N129+N130</f>
        <v>0</v>
      </c>
      <c r="O128" s="177">
        <f ca="1">IF(L128&gt;0,N128*100/L128,0)</f>
        <v>0</v>
      </c>
      <c r="P128" s="177">
        <f ca="1">IF(M128&gt;0,N128*100/M128,0)</f>
        <v>0</v>
      </c>
    </row>
    <row r="129" spans="1:16" ht="18.75" hidden="1" x14ac:dyDescent="0.25">
      <c r="A129" s="174"/>
      <c r="B129" s="16"/>
      <c r="C129" s="16"/>
      <c r="D129" s="16"/>
      <c r="E129" s="182" t="s">
        <v>34</v>
      </c>
      <c r="F129" s="16"/>
      <c r="G129" s="17"/>
      <c r="H129" s="189" t="s">
        <v>12</v>
      </c>
      <c r="I129" s="18"/>
      <c r="J129" s="18"/>
      <c r="K129" s="19"/>
      <c r="L129" s="184">
        <v>0</v>
      </c>
      <c r="M129" s="184">
        <v>0</v>
      </c>
      <c r="N129" s="184">
        <v>0</v>
      </c>
      <c r="O129" s="184">
        <f>IF(L129&gt;0,N129*100/L129,0)</f>
        <v>0</v>
      </c>
      <c r="P129" s="184">
        <f>IF(M129&gt;0,N129*100/M129,0)</f>
        <v>0</v>
      </c>
    </row>
    <row r="130" spans="1:16" ht="18.75" hidden="1" x14ac:dyDescent="0.25">
      <c r="A130" s="174"/>
      <c r="B130" s="16"/>
      <c r="C130" s="16"/>
      <c r="D130" s="16"/>
      <c r="E130" s="185" t="s">
        <v>35</v>
      </c>
      <c r="F130" s="16"/>
      <c r="G130" s="17"/>
      <c r="H130" s="188" t="s">
        <v>12</v>
      </c>
      <c r="I130" s="18"/>
      <c r="J130" s="18"/>
      <c r="K130" s="19"/>
      <c r="L130" s="177">
        <f ca="1">IFERROR(__xludf.DUMMYFUNCTION("IMPORTRANGE(""https://docs.google.com/spreadsheets/d/1-uDff_7J0KD5mKrp0Vvzr7lt3OU09vwQwhkpOPPYv2Y/edit?usp=sharing"",""งบพรบ!BG28"")"),0)</f>
        <v>0</v>
      </c>
      <c r="M130" s="177">
        <f ca="1">IFERROR(__xludf.DUMMYFUNCTION("IMPORTRANGE(""https://docs.google.com/spreadsheets/d/1-uDff_7J0KD5mKrp0Vvzr7lt3OU09vwQwhkpOPPYv2Y/edit?usp=sharing"",""งบพรบ!BL28"")"),0)</f>
        <v>0</v>
      </c>
      <c r="N130" s="177">
        <f ca="1">IFERROR(__xludf.DUMMYFUNCTION("IMPORTRANGE(""https://docs.google.com/spreadsheets/d/1-uDff_7J0KD5mKrp0Vvzr7lt3OU09vwQwhkpOPPYv2Y/edit?usp=sharing"",""งบพรบ!BN28"")"),0)</f>
        <v>0</v>
      </c>
      <c r="O130" s="177">
        <f ca="1">IF(L130&gt;0,N130*100/L130,0)</f>
        <v>0</v>
      </c>
      <c r="P130" s="177">
        <f ca="1">IF(M130&gt;0,N130*100/M130,0)</f>
        <v>0</v>
      </c>
    </row>
    <row r="131" spans="1:16" ht="18.75" hidden="1" x14ac:dyDescent="0.25">
      <c r="A131" s="174"/>
      <c r="B131" s="16"/>
      <c r="C131" s="16"/>
      <c r="D131" s="401" t="s">
        <v>21</v>
      </c>
      <c r="E131" s="16"/>
      <c r="F131" s="16"/>
      <c r="G131" s="17"/>
      <c r="H131" s="186" t="s">
        <v>12</v>
      </c>
      <c r="I131" s="18"/>
      <c r="J131" s="18"/>
      <c r="K131" s="19"/>
      <c r="L131" s="177">
        <f ca="1">L132+L133</f>
        <v>0</v>
      </c>
      <c r="M131" s="177">
        <f ca="1">M132+M133</f>
        <v>0</v>
      </c>
      <c r="N131" s="177">
        <f ca="1">N132+N133</f>
        <v>0</v>
      </c>
      <c r="O131" s="177">
        <f ca="1">IF(L131&gt;0,N131*100/L131,0)</f>
        <v>0</v>
      </c>
      <c r="P131" s="177">
        <f ca="1">IF(M131&gt;0,N131*100/M131,0)</f>
        <v>0</v>
      </c>
    </row>
    <row r="132" spans="1:16" ht="18.75" hidden="1" x14ac:dyDescent="0.25">
      <c r="A132" s="174"/>
      <c r="B132" s="16"/>
      <c r="C132" s="16"/>
      <c r="D132" s="16"/>
      <c r="E132" s="182" t="s">
        <v>18</v>
      </c>
      <c r="F132" s="16"/>
      <c r="G132" s="17"/>
      <c r="H132" s="189" t="s">
        <v>12</v>
      </c>
      <c r="I132" s="18"/>
      <c r="J132" s="18"/>
      <c r="K132" s="19"/>
      <c r="L132" s="184">
        <v>0</v>
      </c>
      <c r="M132" s="184">
        <v>0</v>
      </c>
      <c r="N132" s="184">
        <v>0</v>
      </c>
      <c r="O132" s="184">
        <f>IF(L132&gt;0,N132*100/L132,0)</f>
        <v>0</v>
      </c>
      <c r="P132" s="184">
        <f>IF(M132&gt;0,N132*100/M132,0)</f>
        <v>0</v>
      </c>
    </row>
    <row r="133" spans="1:16" ht="18.75" hidden="1" x14ac:dyDescent="0.25">
      <c r="A133" s="174"/>
      <c r="B133" s="16"/>
      <c r="C133" s="16"/>
      <c r="D133" s="16"/>
      <c r="E133" s="185" t="s">
        <v>19</v>
      </c>
      <c r="F133" s="16"/>
      <c r="G133" s="17"/>
      <c r="H133" s="186" t="s">
        <v>12</v>
      </c>
      <c r="I133" s="18"/>
      <c r="J133" s="18"/>
      <c r="K133" s="19"/>
      <c r="L133" s="177">
        <f ca="1">IFERROR(__xludf.DUMMYFUNCTION("IMPORTRANGE(""https://docs.google.com/spreadsheets/d/1-uDff_7J0KD5mKrp0Vvzr7lt3OU09vwQwhkpOPPYv2Y/edit?usp=sharing"",""งบพรบ!BJ28"")"),0)</f>
        <v>0</v>
      </c>
      <c r="M133" s="177">
        <f ca="1">IFERROR(__xludf.DUMMYFUNCTION("IMPORTRANGE(""https://docs.google.com/spreadsheets/d/1-uDff_7J0KD5mKrp0Vvzr7lt3OU09vwQwhkpOPPYv2Y/edit?usp=sharing"",""งบพรบ!BM28"")"),0)</f>
        <v>0</v>
      </c>
      <c r="N133" s="177">
        <f ca="1">IFERROR(__xludf.DUMMYFUNCTION("IMPORTRANGE(""https://docs.google.com/spreadsheets/d/1-uDff_7J0KD5mKrp0Vvzr7lt3OU09vwQwhkpOPPYv2Y/edit?usp=sharing"",""งบพรบ!BO28"")"),0)</f>
        <v>0</v>
      </c>
      <c r="O133" s="177">
        <f ca="1">IF(L133&gt;0,N133*100/L133,0)</f>
        <v>0</v>
      </c>
      <c r="P133" s="177">
        <f ca="1">IF(M133&gt;0,N133*100/M133,0)</f>
        <v>0</v>
      </c>
    </row>
    <row r="134" spans="1:16" ht="19.5" hidden="1" x14ac:dyDescent="0.3">
      <c r="A134" s="125" t="s">
        <v>51</v>
      </c>
      <c r="B134" s="126"/>
      <c r="C134" s="190"/>
      <c r="D134" s="126"/>
      <c r="E134" s="126"/>
      <c r="F134" s="126"/>
      <c r="G134" s="126"/>
      <c r="H134" s="126"/>
      <c r="I134" s="191"/>
      <c r="J134" s="191"/>
      <c r="K134" s="192"/>
      <c r="L134" s="130"/>
      <c r="M134" s="130"/>
      <c r="N134" s="130"/>
      <c r="O134" s="130"/>
      <c r="P134" s="130"/>
    </row>
    <row r="135" spans="1:16" ht="19.5" hidden="1" x14ac:dyDescent="0.3">
      <c r="A135" s="131"/>
      <c r="B135" s="132" t="s">
        <v>52</v>
      </c>
      <c r="C135" s="193"/>
      <c r="D135" s="133"/>
      <c r="E135" s="26"/>
      <c r="F135" s="26"/>
      <c r="G135" s="26"/>
      <c r="H135" s="26"/>
      <c r="I135" s="194"/>
      <c r="J135" s="31"/>
      <c r="K135" s="32"/>
      <c r="L135" s="32"/>
      <c r="M135" s="32"/>
      <c r="N135" s="32"/>
      <c r="O135" s="32"/>
      <c r="P135" s="32"/>
    </row>
    <row r="136" spans="1:16" ht="19.5" hidden="1" x14ac:dyDescent="0.3">
      <c r="A136" s="131"/>
      <c r="B136" s="26"/>
      <c r="C136" s="195" t="s">
        <v>53</v>
      </c>
      <c r="D136" s="133"/>
      <c r="E136" s="26"/>
      <c r="F136" s="26"/>
      <c r="G136" s="29"/>
      <c r="H136" s="134" t="s">
        <v>54</v>
      </c>
      <c r="I136" s="135">
        <f ca="1">I154</f>
        <v>0</v>
      </c>
      <c r="J136" s="135">
        <f>J154</f>
        <v>0</v>
      </c>
      <c r="K136" s="33">
        <f ca="1">IF(I136&gt;0,J136*100/I136,0)</f>
        <v>0</v>
      </c>
      <c r="L136" s="32"/>
      <c r="M136" s="32"/>
      <c r="N136" s="32"/>
      <c r="O136" s="32"/>
      <c r="P136" s="32"/>
    </row>
    <row r="137" spans="1:16" ht="19.5" hidden="1" x14ac:dyDescent="0.3">
      <c r="A137" s="131"/>
      <c r="B137" s="26"/>
      <c r="C137" s="195" t="s">
        <v>55</v>
      </c>
      <c r="D137" s="133"/>
      <c r="E137" s="26"/>
      <c r="F137" s="26"/>
      <c r="G137" s="29"/>
      <c r="H137" s="134" t="s">
        <v>33</v>
      </c>
      <c r="I137" s="135">
        <f ca="1">I152</f>
        <v>0</v>
      </c>
      <c r="J137" s="135">
        <f>J152</f>
        <v>0</v>
      </c>
      <c r="K137" s="33">
        <f ca="1">IF(I137&gt;0,J137*100/I137,0)</f>
        <v>0</v>
      </c>
      <c r="L137" s="32"/>
      <c r="M137" s="32"/>
      <c r="N137" s="32"/>
      <c r="O137" s="32"/>
      <c r="P137" s="32"/>
    </row>
    <row r="138" spans="1:16" ht="19.5" hidden="1" x14ac:dyDescent="0.3">
      <c r="A138" s="131"/>
      <c r="B138" s="26"/>
      <c r="C138" s="193"/>
      <c r="D138" s="133"/>
      <c r="E138" s="26"/>
      <c r="F138" s="26"/>
      <c r="G138" s="29"/>
      <c r="H138" s="134" t="s">
        <v>56</v>
      </c>
      <c r="I138" s="135">
        <f ca="1">I153</f>
        <v>0</v>
      </c>
      <c r="J138" s="135">
        <f>J153</f>
        <v>0</v>
      </c>
      <c r="K138" s="33">
        <f ca="1">IF(I138&gt;0,J138*100/I138,0)</f>
        <v>0</v>
      </c>
      <c r="L138" s="32"/>
      <c r="M138" s="32"/>
      <c r="N138" s="32"/>
      <c r="O138" s="32"/>
      <c r="P138" s="32"/>
    </row>
    <row r="139" spans="1:16" ht="19.5" hidden="1" x14ac:dyDescent="0.3">
      <c r="A139" s="136"/>
      <c r="B139" s="41"/>
      <c r="C139" s="197" t="s">
        <v>16</v>
      </c>
      <c r="D139" s="397" t="s">
        <v>17</v>
      </c>
      <c r="E139" s="41"/>
      <c r="F139" s="41"/>
      <c r="G139" s="43"/>
      <c r="H139" s="139" t="s">
        <v>12</v>
      </c>
      <c r="I139" s="45"/>
      <c r="J139" s="45"/>
      <c r="K139" s="46"/>
      <c r="L139" s="140">
        <f ca="1">L140+L141</f>
        <v>0</v>
      </c>
      <c r="M139" s="140">
        <f ca="1">M140+M141</f>
        <v>0</v>
      </c>
      <c r="N139" s="140">
        <f ca="1">N140+N141</f>
        <v>0</v>
      </c>
      <c r="O139" s="140">
        <f ca="1">IF(L139&gt;0,N139*100/L139,0)</f>
        <v>0</v>
      </c>
      <c r="P139" s="140">
        <f ca="1">IF(M139&gt;0,N139*100/M139,0)</f>
        <v>0</v>
      </c>
    </row>
    <row r="140" spans="1:16" ht="18.75" hidden="1" x14ac:dyDescent="0.25">
      <c r="A140" s="136"/>
      <c r="B140" s="41"/>
      <c r="C140" s="41"/>
      <c r="D140" s="41"/>
      <c r="E140" s="279" t="s">
        <v>18</v>
      </c>
      <c r="F140" s="41"/>
      <c r="G140" s="43"/>
      <c r="H140" s="141" t="s">
        <v>12</v>
      </c>
      <c r="I140" s="45"/>
      <c r="J140" s="45"/>
      <c r="K140" s="46"/>
      <c r="L140" s="50">
        <f>L143+L146</f>
        <v>0</v>
      </c>
      <c r="M140" s="50">
        <f>M143+M146</f>
        <v>0</v>
      </c>
      <c r="N140" s="50">
        <f>N143+N146</f>
        <v>0</v>
      </c>
      <c r="O140" s="50">
        <f>IF(L140&gt;0,N140*100/L140,0)</f>
        <v>0</v>
      </c>
      <c r="P140" s="50">
        <f>IF(M140&gt;0,N140*100/M140,0)</f>
        <v>0</v>
      </c>
    </row>
    <row r="141" spans="1:16" ht="18.75" hidden="1" x14ac:dyDescent="0.25">
      <c r="A141" s="136"/>
      <c r="B141" s="41"/>
      <c r="C141" s="41"/>
      <c r="D141" s="41"/>
      <c r="E141" s="254" t="s">
        <v>19</v>
      </c>
      <c r="F141" s="41"/>
      <c r="G141" s="43"/>
      <c r="H141" s="142" t="s">
        <v>12</v>
      </c>
      <c r="I141" s="45"/>
      <c r="J141" s="45"/>
      <c r="K141" s="46"/>
      <c r="L141" s="47">
        <f ca="1">L144+L147</f>
        <v>0</v>
      </c>
      <c r="M141" s="47">
        <f ca="1">M144+M147</f>
        <v>0</v>
      </c>
      <c r="N141" s="47">
        <f ca="1">N144+N147</f>
        <v>0</v>
      </c>
      <c r="O141" s="47">
        <f ca="1">IF(L141&gt;0,N141*100/L141,0)</f>
        <v>0</v>
      </c>
      <c r="P141" s="47">
        <f ca="1">IF(M141&gt;0,N141*100/M141,0)</f>
        <v>0</v>
      </c>
    </row>
    <row r="142" spans="1:16" ht="18.75" hidden="1" x14ac:dyDescent="0.25">
      <c r="A142" s="136"/>
      <c r="B142" s="41"/>
      <c r="C142" s="41"/>
      <c r="D142" s="42" t="s">
        <v>20</v>
      </c>
      <c r="E142" s="41"/>
      <c r="F142" s="41"/>
      <c r="G142" s="43"/>
      <c r="H142" s="143" t="s">
        <v>12</v>
      </c>
      <c r="I142" s="144"/>
      <c r="J142" s="144"/>
      <c r="K142" s="145"/>
      <c r="L142" s="47">
        <f ca="1">L143+L144</f>
        <v>0</v>
      </c>
      <c r="M142" s="47">
        <f ca="1">M143+M144</f>
        <v>0</v>
      </c>
      <c r="N142" s="47">
        <f ca="1">N143+N144</f>
        <v>0</v>
      </c>
      <c r="O142" s="47">
        <f ca="1">IF(L142&gt;0,N142*100/L142,0)</f>
        <v>0</v>
      </c>
      <c r="P142" s="47">
        <f ca="1">IF(M142&gt;0,N142*100/M142,0)</f>
        <v>0</v>
      </c>
    </row>
    <row r="143" spans="1:16" ht="18.75" hidden="1" x14ac:dyDescent="0.25">
      <c r="A143" s="136"/>
      <c r="B143" s="41"/>
      <c r="C143" s="41"/>
      <c r="D143" s="41"/>
      <c r="E143" s="279" t="s">
        <v>34</v>
      </c>
      <c r="F143" s="41"/>
      <c r="G143" s="43"/>
      <c r="H143" s="146" t="s">
        <v>12</v>
      </c>
      <c r="I143" s="144"/>
      <c r="J143" s="144"/>
      <c r="K143" s="145"/>
      <c r="L143" s="50">
        <v>0</v>
      </c>
      <c r="M143" s="50">
        <v>0</v>
      </c>
      <c r="N143" s="50">
        <v>0</v>
      </c>
      <c r="O143" s="50">
        <f>IF(L143&gt;0,N143*100/L143,0)</f>
        <v>0</v>
      </c>
      <c r="P143" s="50">
        <f>IF(M143&gt;0,N143*100/M143,0)</f>
        <v>0</v>
      </c>
    </row>
    <row r="144" spans="1:16" ht="18.75" hidden="1" x14ac:dyDescent="0.25">
      <c r="A144" s="136"/>
      <c r="B144" s="41"/>
      <c r="C144" s="41"/>
      <c r="D144" s="41"/>
      <c r="E144" s="254" t="s">
        <v>35</v>
      </c>
      <c r="F144" s="41"/>
      <c r="G144" s="43"/>
      <c r="H144" s="143" t="s">
        <v>12</v>
      </c>
      <c r="I144" s="144"/>
      <c r="J144" s="144"/>
      <c r="K144" s="145"/>
      <c r="L144" s="47">
        <f ca="1">IFERROR(__xludf.DUMMYFUNCTION("IMPORTRANGE(""https://docs.google.com/spreadsheets/d/1-uDff_7J0KD5mKrp0Vvzr7lt3OU09vwQwhkpOPPYv2Y/edit?usp=sharing"",""งบพรบ!BQ28"")"),0)</f>
        <v>0</v>
      </c>
      <c r="M144" s="47">
        <f ca="1">IFERROR(__xludf.DUMMYFUNCTION("IMPORTRANGE(""https://docs.google.com/spreadsheets/d/1-uDff_7J0KD5mKrp0Vvzr7lt3OU09vwQwhkpOPPYv2Y/edit?usp=sharing"",""งบพรบ!BV28"")"),0)</f>
        <v>0</v>
      </c>
      <c r="N144" s="47">
        <f ca="1">IFERROR(__xludf.DUMMYFUNCTION("IMPORTRANGE(""https://docs.google.com/spreadsheets/d/1-uDff_7J0KD5mKrp0Vvzr7lt3OU09vwQwhkpOPPYv2Y/edit?usp=sharing"",""งบพรบ!BX28"")"),0)</f>
        <v>0</v>
      </c>
      <c r="O144" s="47">
        <f ca="1">IF(L144&gt;0,N144*100/L144,0)</f>
        <v>0</v>
      </c>
      <c r="P144" s="47">
        <f ca="1">IF(M144&gt;0,N144*100/M144,0)</f>
        <v>0</v>
      </c>
    </row>
    <row r="145" spans="1:16" ht="18.75" hidden="1" x14ac:dyDescent="0.25">
      <c r="A145" s="136"/>
      <c r="B145" s="41"/>
      <c r="C145" s="41"/>
      <c r="D145" s="42" t="s">
        <v>21</v>
      </c>
      <c r="E145" s="41"/>
      <c r="F145" s="41"/>
      <c r="G145" s="43"/>
      <c r="H145" s="147" t="s">
        <v>12</v>
      </c>
      <c r="I145" s="144"/>
      <c r="J145" s="144"/>
      <c r="K145" s="145"/>
      <c r="L145" s="47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</row>
    <row r="146" spans="1:16" ht="18.75" hidden="1" x14ac:dyDescent="0.25">
      <c r="A146" s="136"/>
      <c r="B146" s="41"/>
      <c r="C146" s="41"/>
      <c r="D146" s="41"/>
      <c r="E146" s="279" t="s">
        <v>18</v>
      </c>
      <c r="F146" s="41"/>
      <c r="G146" s="43"/>
      <c r="H146" s="146" t="s">
        <v>12</v>
      </c>
      <c r="I146" s="144"/>
      <c r="J146" s="144"/>
      <c r="K146" s="145"/>
      <c r="L146" s="50">
        <v>0</v>
      </c>
      <c r="M146" s="50">
        <v>0</v>
      </c>
      <c r="N146" s="50">
        <v>0</v>
      </c>
      <c r="O146" s="50">
        <f>IF(L146&gt;0,N146*100/L146,0)</f>
        <v>0</v>
      </c>
      <c r="P146" s="50">
        <f>IF(M146&gt;0,N146*100/M146,0)</f>
        <v>0</v>
      </c>
    </row>
    <row r="147" spans="1:16" ht="18.75" hidden="1" x14ac:dyDescent="0.25">
      <c r="A147" s="136"/>
      <c r="B147" s="41"/>
      <c r="C147" s="41"/>
      <c r="D147" s="41"/>
      <c r="E147" s="254" t="s">
        <v>19</v>
      </c>
      <c r="F147" s="41"/>
      <c r="G147" s="43"/>
      <c r="H147" s="147" t="s">
        <v>12</v>
      </c>
      <c r="I147" s="144"/>
      <c r="J147" s="144"/>
      <c r="K147" s="145"/>
      <c r="L147" s="47">
        <f ca="1">IFERROR(__xludf.DUMMYFUNCTION("IMPORTRANGE(""https://docs.google.com/spreadsheets/d/1-uDff_7J0KD5mKrp0Vvzr7lt3OU09vwQwhkpOPPYv2Y/edit?usp=sharing"",""งบพรบ!BT28"")"),0)</f>
        <v>0</v>
      </c>
      <c r="M147" s="47">
        <f ca="1">IFERROR(__xludf.DUMMYFUNCTION("IMPORTRANGE(""https://docs.google.com/spreadsheets/d/1-uDff_7J0KD5mKrp0Vvzr7lt3OU09vwQwhkpOPPYv2Y/edit?usp=sharing"",""งบพรบ!BW28"")"),0)</f>
        <v>0</v>
      </c>
      <c r="N147" s="47">
        <f ca="1">IFERROR(__xludf.DUMMYFUNCTION("IMPORTRANGE(""https://docs.google.com/spreadsheets/d/1-uDff_7J0KD5mKrp0Vvzr7lt3OU09vwQwhkpOPPYv2Y/edit?usp=sharing"",""งบพรบ!BY28"")"),0)</f>
        <v>0</v>
      </c>
      <c r="O147" s="47">
        <f ca="1">IF(L147&gt;0,N147*100/L147,0)</f>
        <v>0</v>
      </c>
      <c r="P147" s="47">
        <f ca="1">IF(M147&gt;0,N147*100/M147,0)</f>
        <v>0</v>
      </c>
    </row>
    <row r="148" spans="1:16" ht="19.5" hidden="1" x14ac:dyDescent="0.3">
      <c r="A148" s="148"/>
      <c r="B148" s="149"/>
      <c r="C148" s="197" t="s">
        <v>16</v>
      </c>
      <c r="D148" s="395" t="s">
        <v>36</v>
      </c>
      <c r="E148" s="151"/>
      <c r="F148" s="151"/>
      <c r="G148" s="152"/>
      <c r="H148" s="196"/>
      <c r="I148" s="45"/>
      <c r="J148" s="45"/>
      <c r="K148" s="46"/>
      <c r="L148" s="46"/>
      <c r="M148" s="46"/>
      <c r="N148" s="46"/>
      <c r="O148" s="46"/>
      <c r="P148" s="46"/>
    </row>
    <row r="149" spans="1:16" ht="18.75" hidden="1" x14ac:dyDescent="0.25">
      <c r="A149" s="136"/>
      <c r="B149" s="41"/>
      <c r="C149" s="41"/>
      <c r="D149" s="254" t="s">
        <v>57</v>
      </c>
      <c r="E149" s="41"/>
      <c r="F149" s="41"/>
      <c r="G149" s="43"/>
      <c r="H149" s="196"/>
      <c r="I149" s="45"/>
      <c r="J149" s="250">
        <v>0</v>
      </c>
      <c r="K149" s="46"/>
      <c r="L149" s="46"/>
      <c r="M149" s="46"/>
      <c r="N149" s="46"/>
      <c r="O149" s="46"/>
      <c r="P149" s="46"/>
    </row>
    <row r="150" spans="1:16" ht="19.5" hidden="1" x14ac:dyDescent="0.3">
      <c r="A150" s="136"/>
      <c r="B150" s="41"/>
      <c r="C150" s="41"/>
      <c r="D150" s="155"/>
      <c r="E150" s="197" t="s">
        <v>58</v>
      </c>
      <c r="F150" s="41"/>
      <c r="G150" s="43"/>
      <c r="H150" s="147" t="s">
        <v>33</v>
      </c>
      <c r="I150" s="169">
        <f ca="1">IFERROR(__xludf.DUMMYFUNCTION("IMPORTRANGE(""https://docs.google.com/spreadsheets/d/1eHaY18a8A9IcSdp1K8H6x8fbOy06t2VsZHhMHf-1x7Y/edit?usp=sharing"",""แผน!U28"")"),0)</f>
        <v>0</v>
      </c>
      <c r="J150" s="250">
        <v>0</v>
      </c>
      <c r="K150" s="47">
        <f ca="1">IF(I150&gt;0,J150*100/I150,0)</f>
        <v>0</v>
      </c>
      <c r="L150" s="46"/>
      <c r="M150" s="46"/>
      <c r="N150" s="46"/>
      <c r="O150" s="46"/>
      <c r="P150" s="46"/>
    </row>
    <row r="151" spans="1:16" ht="18.75" hidden="1" x14ac:dyDescent="0.25">
      <c r="A151" s="136"/>
      <c r="B151" s="41"/>
      <c r="C151" s="41"/>
      <c r="D151" s="155"/>
      <c r="E151" s="41"/>
      <c r="F151" s="41"/>
      <c r="G151" s="43"/>
      <c r="H151" s="147" t="s">
        <v>56</v>
      </c>
      <c r="I151" s="169">
        <f ca="1">IFERROR(__xludf.DUMMYFUNCTION("IMPORTRANGE(""https://docs.google.com/spreadsheets/d/1eHaY18a8A9IcSdp1K8H6x8fbOy06t2VsZHhMHf-1x7Y/edit?usp=sharing"",""แผน!V28"")"),0)</f>
        <v>0</v>
      </c>
      <c r="J151" s="250">
        <v>0</v>
      </c>
      <c r="K151" s="47">
        <f ca="1">IF(I151&gt;0,J151*100/I151,0)</f>
        <v>0</v>
      </c>
      <c r="L151" s="46"/>
      <c r="M151" s="46"/>
      <c r="N151" s="46"/>
      <c r="O151" s="46"/>
      <c r="P151" s="46"/>
    </row>
    <row r="152" spans="1:16" ht="19.5" hidden="1" x14ac:dyDescent="0.3">
      <c r="A152" s="136"/>
      <c r="B152" s="41"/>
      <c r="C152" s="41"/>
      <c r="D152" s="155"/>
      <c r="E152" s="197" t="s">
        <v>59</v>
      </c>
      <c r="F152" s="41"/>
      <c r="G152" s="43"/>
      <c r="H152" s="147" t="s">
        <v>33</v>
      </c>
      <c r="I152" s="169">
        <f ca="1">IFERROR(__xludf.DUMMYFUNCTION("IMPORTRANGE(""https://docs.google.com/spreadsheets/d/1eHaY18a8A9IcSdp1K8H6x8fbOy06t2VsZHhMHf-1x7Y/edit?usp=sharing"",""แผน!W28"")"),0)</f>
        <v>0</v>
      </c>
      <c r="J152" s="250">
        <v>0</v>
      </c>
      <c r="K152" s="47">
        <f ca="1">IF(I152&gt;0,J152*100/I152,0)</f>
        <v>0</v>
      </c>
      <c r="L152" s="46"/>
      <c r="M152" s="46"/>
      <c r="N152" s="46"/>
      <c r="O152" s="46"/>
      <c r="P152" s="46"/>
    </row>
    <row r="153" spans="1:16" ht="18.75" hidden="1" x14ac:dyDescent="0.25">
      <c r="A153" s="136"/>
      <c r="B153" s="41"/>
      <c r="C153" s="41"/>
      <c r="D153" s="41"/>
      <c r="E153" s="41"/>
      <c r="F153" s="41"/>
      <c r="G153" s="43"/>
      <c r="H153" s="147" t="s">
        <v>56</v>
      </c>
      <c r="I153" s="169">
        <f ca="1">IFERROR(__xludf.DUMMYFUNCTION("IMPORTRANGE(""https://docs.google.com/spreadsheets/d/1eHaY18a8A9IcSdp1K8H6x8fbOy06t2VsZHhMHf-1x7Y/edit?usp=sharing"",""แผน!X28"")"),0)</f>
        <v>0</v>
      </c>
      <c r="J153" s="250">
        <v>0</v>
      </c>
      <c r="K153" s="47">
        <f ca="1">IF(I153&gt;0,J153*100/I153,0)</f>
        <v>0</v>
      </c>
      <c r="L153" s="46"/>
      <c r="M153" s="46"/>
      <c r="N153" s="46"/>
      <c r="O153" s="46"/>
      <c r="P153" s="46"/>
    </row>
    <row r="154" spans="1:16" ht="18.75" hidden="1" x14ac:dyDescent="0.25">
      <c r="A154" s="136"/>
      <c r="B154" s="41"/>
      <c r="C154" s="41"/>
      <c r="D154" s="254" t="s">
        <v>60</v>
      </c>
      <c r="E154" s="41"/>
      <c r="F154" s="41"/>
      <c r="G154" s="43"/>
      <c r="H154" s="147" t="s">
        <v>54</v>
      </c>
      <c r="I154" s="169">
        <f ca="1">IFERROR(__xludf.DUMMYFUNCTION("IMPORTRANGE(""https://docs.google.com/spreadsheets/d/1eHaY18a8A9IcSdp1K8H6x8fbOy06t2VsZHhMHf-1x7Y/edit?usp=sharing"",""แผน!Y28"")"),0)</f>
        <v>0</v>
      </c>
      <c r="J154" s="250">
        <v>0</v>
      </c>
      <c r="K154" s="47">
        <f ca="1">IF(I154&gt;0,J154*100/I154,0)</f>
        <v>0</v>
      </c>
      <c r="L154" s="46"/>
      <c r="M154" s="46"/>
      <c r="N154" s="46"/>
      <c r="O154" s="46"/>
      <c r="P154" s="46"/>
    </row>
    <row r="155" spans="1:16" ht="19.5" x14ac:dyDescent="0.3">
      <c r="A155" s="125" t="s">
        <v>61</v>
      </c>
      <c r="B155" s="126"/>
      <c r="C155" s="190"/>
      <c r="D155" s="126"/>
      <c r="E155" s="126"/>
      <c r="F155" s="126"/>
      <c r="G155" s="126"/>
      <c r="H155" s="126"/>
      <c r="I155" s="191"/>
      <c r="J155" s="191"/>
      <c r="K155" s="192"/>
      <c r="L155" s="130"/>
      <c r="M155" s="130"/>
      <c r="N155" s="130"/>
      <c r="O155" s="130"/>
      <c r="P155" s="130"/>
    </row>
    <row r="156" spans="1:16" ht="19.5" x14ac:dyDescent="0.3">
      <c r="A156" s="131"/>
      <c r="B156" s="132" t="s">
        <v>62</v>
      </c>
      <c r="C156" s="26"/>
      <c r="D156" s="26"/>
      <c r="E156" s="26"/>
      <c r="F156" s="26"/>
      <c r="G156" s="29"/>
      <c r="H156" s="198" t="s">
        <v>33</v>
      </c>
      <c r="I156" s="135">
        <f ca="1">I167</f>
        <v>20</v>
      </c>
      <c r="J156" s="135">
        <f>J167</f>
        <v>0</v>
      </c>
      <c r="K156" s="33">
        <f ca="1">IF(I156&gt;0,J156*100/I156,0)</f>
        <v>0</v>
      </c>
      <c r="L156" s="32"/>
      <c r="M156" s="32"/>
      <c r="N156" s="32"/>
      <c r="O156" s="32"/>
      <c r="P156" s="32"/>
    </row>
    <row r="157" spans="1:16" ht="19.5" x14ac:dyDescent="0.3">
      <c r="A157" s="136"/>
      <c r="B157" s="41"/>
      <c r="C157" s="197" t="s">
        <v>16</v>
      </c>
      <c r="D157" s="397" t="s">
        <v>17</v>
      </c>
      <c r="E157" s="41"/>
      <c r="F157" s="41"/>
      <c r="G157" s="43"/>
      <c r="H157" s="139" t="s">
        <v>12</v>
      </c>
      <c r="I157" s="45"/>
      <c r="J157" s="45"/>
      <c r="K157" s="46"/>
      <c r="L157" s="140">
        <f ca="1">L158+L159</f>
        <v>6000</v>
      </c>
      <c r="M157" s="140">
        <f ca="1">M158+M159</f>
        <v>0</v>
      </c>
      <c r="N157" s="140">
        <f ca="1">N158+N159</f>
        <v>0</v>
      </c>
      <c r="O157" s="140">
        <f ca="1">IF(L157&gt;0,N157*100/L157,0)</f>
        <v>0</v>
      </c>
      <c r="P157" s="140">
        <f ca="1">IF(M157&gt;0,N157*100/M157,0)</f>
        <v>0</v>
      </c>
    </row>
    <row r="158" spans="1:16" ht="18.75" hidden="1" x14ac:dyDescent="0.25">
      <c r="A158" s="136"/>
      <c r="B158" s="41"/>
      <c r="C158" s="41"/>
      <c r="D158" s="41"/>
      <c r="E158" s="279" t="s">
        <v>18</v>
      </c>
      <c r="F158" s="41"/>
      <c r="G158" s="43"/>
      <c r="H158" s="141" t="s">
        <v>12</v>
      </c>
      <c r="I158" s="45"/>
      <c r="J158" s="45"/>
      <c r="K158" s="46"/>
      <c r="L158" s="50">
        <f>L161+L164</f>
        <v>0</v>
      </c>
      <c r="M158" s="50">
        <f>M161+M164</f>
        <v>0</v>
      </c>
      <c r="N158" s="50">
        <f>N161+N164</f>
        <v>0</v>
      </c>
      <c r="O158" s="50">
        <f>IF(L158&gt;0,N158*100/L158,0)</f>
        <v>0</v>
      </c>
      <c r="P158" s="50">
        <f>IF(M158&gt;0,N158*100/M158,0)</f>
        <v>0</v>
      </c>
    </row>
    <row r="159" spans="1:16" ht="18.75" x14ac:dyDescent="0.25">
      <c r="A159" s="136"/>
      <c r="B159" s="41"/>
      <c r="C159" s="41"/>
      <c r="D159" s="41"/>
      <c r="E159" s="254" t="s">
        <v>19</v>
      </c>
      <c r="F159" s="41"/>
      <c r="G159" s="43"/>
      <c r="H159" s="142" t="s">
        <v>12</v>
      </c>
      <c r="I159" s="45"/>
      <c r="J159" s="45"/>
      <c r="K159" s="46"/>
      <c r="L159" s="47">
        <f ca="1">L162+L165</f>
        <v>6000</v>
      </c>
      <c r="M159" s="47">
        <f ca="1">M162+M165</f>
        <v>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</row>
    <row r="160" spans="1:16" ht="18.75" x14ac:dyDescent="0.25">
      <c r="A160" s="136"/>
      <c r="B160" s="41"/>
      <c r="C160" s="41"/>
      <c r="D160" s="42" t="s">
        <v>20</v>
      </c>
      <c r="E160" s="41"/>
      <c r="F160" s="41"/>
      <c r="G160" s="43"/>
      <c r="H160" s="143" t="s">
        <v>12</v>
      </c>
      <c r="I160" s="144"/>
      <c r="J160" s="144"/>
      <c r="K160" s="145"/>
      <c r="L160" s="47">
        <f ca="1">L161+L162</f>
        <v>6000</v>
      </c>
      <c r="M160" s="47">
        <f ca="1">M161+M162</f>
        <v>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</row>
    <row r="161" spans="1:16" ht="18.75" hidden="1" x14ac:dyDescent="0.25">
      <c r="A161" s="136"/>
      <c r="B161" s="41"/>
      <c r="C161" s="41"/>
      <c r="D161" s="41"/>
      <c r="E161" s="279" t="s">
        <v>34</v>
      </c>
      <c r="F161" s="41"/>
      <c r="G161" s="43"/>
      <c r="H161" s="146" t="s">
        <v>12</v>
      </c>
      <c r="I161" s="144"/>
      <c r="J161" s="144"/>
      <c r="K161" s="145"/>
      <c r="L161" s="50">
        <v>0</v>
      </c>
      <c r="M161" s="50">
        <v>0</v>
      </c>
      <c r="N161" s="50">
        <v>0</v>
      </c>
      <c r="O161" s="50">
        <f>IF(L161&gt;0,N161*100/L161,0)</f>
        <v>0</v>
      </c>
      <c r="P161" s="50">
        <f>IF(M161&gt;0,N161*100/M161,0)</f>
        <v>0</v>
      </c>
    </row>
    <row r="162" spans="1:16" ht="18.75" x14ac:dyDescent="0.25">
      <c r="A162" s="136"/>
      <c r="B162" s="41"/>
      <c r="C162" s="41"/>
      <c r="D162" s="41"/>
      <c r="E162" s="254" t="s">
        <v>35</v>
      </c>
      <c r="F162" s="41"/>
      <c r="G162" s="43"/>
      <c r="H162" s="143" t="s">
        <v>12</v>
      </c>
      <c r="I162" s="144"/>
      <c r="J162" s="144"/>
      <c r="K162" s="145"/>
      <c r="L162" s="47">
        <f ca="1">IFERROR(__xludf.DUMMYFUNCTION("IMPORTRANGE(""https://docs.google.com/spreadsheets/d/1-uDff_7J0KD5mKrp0Vvzr7lt3OU09vwQwhkpOPPYv2Y/edit?usp=sharing"",""งบพรบ!CA28"")"),6000)</f>
        <v>6000</v>
      </c>
      <c r="M162" s="47">
        <f ca="1">IFERROR(__xludf.DUMMYFUNCTION("IMPORTRANGE(""https://docs.google.com/spreadsheets/d/1-uDff_7J0KD5mKrp0Vvzr7lt3OU09vwQwhkpOPPYv2Y/edit?usp=sharing"",""งบพรบ!CF28"")"),0)</f>
        <v>0</v>
      </c>
      <c r="N162" s="47">
        <f ca="1">IFERROR(__xludf.DUMMYFUNCTION("IMPORTRANGE(""https://docs.google.com/spreadsheets/d/1-uDff_7J0KD5mKrp0Vvzr7lt3OU09vwQwhkpOPPYv2Y/edit?usp=sharing"",""งบพรบ!CH28"")"),0)</f>
        <v>0</v>
      </c>
      <c r="O162" s="47">
        <f ca="1">IF(L162&gt;0,N162*100/L162,0)</f>
        <v>0</v>
      </c>
      <c r="P162" s="47">
        <f ca="1">IF(M162&gt;0,N162*100/M162,0)</f>
        <v>0</v>
      </c>
    </row>
    <row r="163" spans="1:16" ht="18.75" x14ac:dyDescent="0.25">
      <c r="A163" s="136"/>
      <c r="B163" s="41"/>
      <c r="C163" s="41"/>
      <c r="D163" s="42" t="s">
        <v>21</v>
      </c>
      <c r="E163" s="41"/>
      <c r="F163" s="41"/>
      <c r="G163" s="43"/>
      <c r="H163" s="147" t="s">
        <v>12</v>
      </c>
      <c r="I163" s="144"/>
      <c r="J163" s="144"/>
      <c r="K163" s="145"/>
      <c r="L163" s="47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</row>
    <row r="164" spans="1:16" ht="18.75" hidden="1" x14ac:dyDescent="0.25">
      <c r="A164" s="136"/>
      <c r="B164" s="41"/>
      <c r="C164" s="41"/>
      <c r="D164" s="41"/>
      <c r="E164" s="279" t="s">
        <v>18</v>
      </c>
      <c r="F164" s="41"/>
      <c r="G164" s="43"/>
      <c r="H164" s="146" t="s">
        <v>12</v>
      </c>
      <c r="I164" s="144"/>
      <c r="J164" s="144"/>
      <c r="K164" s="145"/>
      <c r="L164" s="50">
        <v>0</v>
      </c>
      <c r="M164" s="50">
        <v>0</v>
      </c>
      <c r="N164" s="50">
        <v>0</v>
      </c>
      <c r="O164" s="50">
        <f>IF(L164&gt;0,N164*100/L164,0)</f>
        <v>0</v>
      </c>
      <c r="P164" s="50">
        <f>IF(M164&gt;0,N164*100/M164,0)</f>
        <v>0</v>
      </c>
    </row>
    <row r="165" spans="1:16" ht="18.75" x14ac:dyDescent="0.25">
      <c r="A165" s="136"/>
      <c r="B165" s="41"/>
      <c r="C165" s="41"/>
      <c r="D165" s="41"/>
      <c r="E165" s="254" t="s">
        <v>19</v>
      </c>
      <c r="F165" s="41"/>
      <c r="G165" s="43"/>
      <c r="H165" s="147" t="s">
        <v>12</v>
      </c>
      <c r="I165" s="144"/>
      <c r="J165" s="144"/>
      <c r="K165" s="145"/>
      <c r="L165" s="47">
        <f ca="1">IFERROR(__xludf.DUMMYFUNCTION("IMPORTRANGE(""https://docs.google.com/spreadsheets/d/1-uDff_7J0KD5mKrp0Vvzr7lt3OU09vwQwhkpOPPYv2Y/edit?usp=sharing"",""งบพรบ!CD28"")"),0)</f>
        <v>0</v>
      </c>
      <c r="M165" s="47">
        <f ca="1">IFERROR(__xludf.DUMMYFUNCTION("IMPORTRANGE(""https://docs.google.com/spreadsheets/d/1-uDff_7J0KD5mKrp0Vvzr7lt3OU09vwQwhkpOPPYv2Y/edit?usp=sharing"",""งบพรบ!CG28"")"),0)</f>
        <v>0</v>
      </c>
      <c r="N165" s="47">
        <f ca="1">IFERROR(__xludf.DUMMYFUNCTION("IMPORTRANGE(""https://docs.google.com/spreadsheets/d/1-uDff_7J0KD5mKrp0Vvzr7lt3OU09vwQwhkpOPPYv2Y/edit?usp=sharing"",""งบพรบ!CI28"")"),0)</f>
        <v>0</v>
      </c>
      <c r="O165" s="47">
        <f ca="1">IF(L165&gt;0,N165*100/L165,0)</f>
        <v>0</v>
      </c>
      <c r="P165" s="47">
        <f ca="1">IF(M165&gt;0,N165*100/M165,0)</f>
        <v>0</v>
      </c>
    </row>
    <row r="166" spans="1:16" ht="19.5" x14ac:dyDescent="0.3">
      <c r="A166" s="148"/>
      <c r="B166" s="149"/>
      <c r="C166" s="197" t="s">
        <v>16</v>
      </c>
      <c r="D166" s="395" t="s">
        <v>36</v>
      </c>
      <c r="E166" s="151"/>
      <c r="F166" s="151"/>
      <c r="G166" s="152"/>
      <c r="H166" s="196"/>
      <c r="I166" s="45"/>
      <c r="J166" s="45"/>
      <c r="K166" s="46"/>
      <c r="L166" s="46"/>
      <c r="M166" s="46"/>
      <c r="N166" s="46"/>
      <c r="O166" s="46"/>
      <c r="P166" s="46"/>
    </row>
    <row r="167" spans="1:16" ht="18.75" x14ac:dyDescent="0.25">
      <c r="A167" s="136"/>
      <c r="B167" s="41"/>
      <c r="C167" s="41"/>
      <c r="D167" s="254" t="s">
        <v>63</v>
      </c>
      <c r="E167" s="41"/>
      <c r="F167" s="41"/>
      <c r="G167" s="43"/>
      <c r="H167" s="147" t="s">
        <v>33</v>
      </c>
      <c r="I167" s="169">
        <f ca="1">IFERROR(__xludf.DUMMYFUNCTION("IMPORTRANGE(""https://docs.google.com/spreadsheets/d/1eHaY18a8A9IcSdp1K8H6x8fbOy06t2VsZHhMHf-1x7Y/edit?usp=sharing"",""แผน!Z28"")"),20)</f>
        <v>20</v>
      </c>
      <c r="J167" s="250">
        <v>0</v>
      </c>
      <c r="K167" s="47">
        <f ca="1">IF(I167&gt;0,J167*100/I167,0)</f>
        <v>0</v>
      </c>
      <c r="L167" s="46"/>
      <c r="M167" s="46"/>
      <c r="N167" s="46"/>
      <c r="O167" s="46"/>
      <c r="P167" s="46"/>
    </row>
    <row r="168" spans="1:16" ht="18.75" hidden="1" x14ac:dyDescent="0.25">
      <c r="A168" s="136"/>
      <c r="B168" s="41"/>
      <c r="C168" s="41"/>
      <c r="D168" s="279" t="s">
        <v>64</v>
      </c>
      <c r="E168" s="41"/>
      <c r="F168" s="41"/>
      <c r="G168" s="43"/>
      <c r="H168" s="199" t="s">
        <v>33</v>
      </c>
      <c r="I168" s="200">
        <f ca="1">I167</f>
        <v>20</v>
      </c>
      <c r="J168" s="201">
        <v>0</v>
      </c>
      <c r="K168" s="50">
        <f ca="1">IF(I168&gt;0,J168*100/I168,0)</f>
        <v>0</v>
      </c>
      <c r="L168" s="46"/>
      <c r="M168" s="46"/>
      <c r="N168" s="46"/>
      <c r="O168" s="46"/>
      <c r="P168" s="46"/>
    </row>
    <row r="169" spans="1:16" ht="18.75" hidden="1" x14ac:dyDescent="0.25">
      <c r="A169" s="202"/>
      <c r="B169" s="1"/>
      <c r="C169" s="1"/>
      <c r="D169" s="203" t="s">
        <v>65</v>
      </c>
      <c r="E169" s="1"/>
      <c r="F169" s="1"/>
      <c r="G169" s="54"/>
      <c r="H169" s="204" t="s">
        <v>33</v>
      </c>
      <c r="I169" s="205">
        <f ca="1">I167</f>
        <v>20</v>
      </c>
      <c r="J169" s="206">
        <v>0</v>
      </c>
      <c r="K169" s="207">
        <f ca="1">IF(I169&gt;0,J169*100/I169,0)</f>
        <v>0</v>
      </c>
      <c r="L169" s="57"/>
      <c r="M169" s="57"/>
      <c r="N169" s="57"/>
      <c r="O169" s="57"/>
      <c r="P169" s="57"/>
    </row>
    <row r="170" spans="1:16" ht="19.5" x14ac:dyDescent="0.3">
      <c r="A170" s="208" t="s">
        <v>66</v>
      </c>
      <c r="B170" s="209"/>
      <c r="C170" s="209"/>
      <c r="D170" s="209"/>
      <c r="E170" s="210"/>
      <c r="F170" s="210"/>
      <c r="G170" s="210"/>
      <c r="H170" s="210"/>
      <c r="I170" s="211"/>
      <c r="J170" s="211"/>
      <c r="K170" s="212"/>
      <c r="L170" s="212"/>
      <c r="M170" s="212"/>
      <c r="N170" s="212"/>
      <c r="O170" s="212"/>
      <c r="P170" s="213"/>
    </row>
    <row r="171" spans="1:16" ht="19.5" x14ac:dyDescent="0.3">
      <c r="A171" s="214" t="s">
        <v>67</v>
      </c>
      <c r="B171" s="215"/>
      <c r="C171" s="215"/>
      <c r="D171" s="216"/>
      <c r="E171" s="216"/>
      <c r="F171" s="216"/>
      <c r="G171" s="216"/>
      <c r="H171" s="217"/>
      <c r="I171" s="218"/>
      <c r="J171" s="218"/>
      <c r="K171" s="219"/>
      <c r="L171" s="219"/>
      <c r="M171" s="219"/>
      <c r="N171" s="219"/>
      <c r="O171" s="219"/>
      <c r="P171" s="219"/>
    </row>
    <row r="172" spans="1:16" ht="19.5" x14ac:dyDescent="0.3">
      <c r="A172" s="220"/>
      <c r="B172" s="221" t="s">
        <v>68</v>
      </c>
      <c r="C172" s="222"/>
      <c r="D172" s="151"/>
      <c r="E172" s="151"/>
      <c r="F172" s="151"/>
      <c r="G172" s="152"/>
      <c r="H172" s="223" t="s">
        <v>33</v>
      </c>
      <c r="I172" s="224">
        <f ca="1">I183+I184</f>
        <v>7</v>
      </c>
      <c r="J172" s="224">
        <f>J183+J184</f>
        <v>0</v>
      </c>
      <c r="K172" s="225">
        <f ca="1">IF(I172&gt;0,J172*100/I172,0)</f>
        <v>0</v>
      </c>
      <c r="L172" s="226"/>
      <c r="M172" s="226"/>
      <c r="N172" s="226"/>
      <c r="O172" s="226"/>
      <c r="P172" s="226"/>
    </row>
    <row r="173" spans="1:16" ht="19.5" x14ac:dyDescent="0.3">
      <c r="A173" s="136"/>
      <c r="B173" s="41"/>
      <c r="C173" s="197" t="s">
        <v>16</v>
      </c>
      <c r="D173" s="397" t="s">
        <v>17</v>
      </c>
      <c r="E173" s="41"/>
      <c r="F173" s="41"/>
      <c r="G173" s="43"/>
      <c r="H173" s="139" t="s">
        <v>12</v>
      </c>
      <c r="I173" s="45"/>
      <c r="J173" s="45"/>
      <c r="K173" s="46"/>
      <c r="L173" s="140">
        <f ca="1">L174+L175</f>
        <v>19590</v>
      </c>
      <c r="M173" s="140">
        <f ca="1">M174+M175</f>
        <v>19590</v>
      </c>
      <c r="N173" s="140">
        <f ca="1">N174+N175</f>
        <v>0</v>
      </c>
      <c r="O173" s="140">
        <f ca="1">IF(L173&gt;0,N173*100/L173,0)</f>
        <v>0</v>
      </c>
      <c r="P173" s="140">
        <f ca="1">IF(M173&gt;0,N173*100/M173,0)</f>
        <v>0</v>
      </c>
    </row>
    <row r="174" spans="1:16" ht="18.75" hidden="1" x14ac:dyDescent="0.25">
      <c r="A174" s="136"/>
      <c r="B174" s="41"/>
      <c r="C174" s="41"/>
      <c r="D174" s="41"/>
      <c r="E174" s="279" t="s">
        <v>18</v>
      </c>
      <c r="F174" s="41"/>
      <c r="G174" s="43"/>
      <c r="H174" s="141" t="s">
        <v>12</v>
      </c>
      <c r="I174" s="45"/>
      <c r="J174" s="45"/>
      <c r="K174" s="46"/>
      <c r="L174" s="50">
        <f>L177+L180</f>
        <v>0</v>
      </c>
      <c r="M174" s="50">
        <f>M177+M180</f>
        <v>0</v>
      </c>
      <c r="N174" s="50">
        <f>N177+N180</f>
        <v>0</v>
      </c>
      <c r="O174" s="50">
        <f>IF(L174&gt;0,N174*100/L174,0)</f>
        <v>0</v>
      </c>
      <c r="P174" s="50">
        <f>IF(M174&gt;0,N174*100/M174,0)</f>
        <v>0</v>
      </c>
    </row>
    <row r="175" spans="1:16" ht="18.75" x14ac:dyDescent="0.25">
      <c r="A175" s="136"/>
      <c r="B175" s="41"/>
      <c r="C175" s="41"/>
      <c r="D175" s="41"/>
      <c r="E175" s="254" t="s">
        <v>19</v>
      </c>
      <c r="F175" s="41"/>
      <c r="G175" s="43"/>
      <c r="H175" s="142" t="s">
        <v>12</v>
      </c>
      <c r="I175" s="45"/>
      <c r="J175" s="45"/>
      <c r="K175" s="46"/>
      <c r="L175" s="47">
        <f ca="1">L178+L181</f>
        <v>19590</v>
      </c>
      <c r="M175" s="47">
        <f ca="1">M178+M181</f>
        <v>19590</v>
      </c>
      <c r="N175" s="47">
        <f ca="1">N178+N181</f>
        <v>0</v>
      </c>
      <c r="O175" s="47">
        <f ca="1">IF(L175&gt;0,N175*100/L175,0)</f>
        <v>0</v>
      </c>
      <c r="P175" s="47">
        <f ca="1">IF(M175&gt;0,N175*100/M175,0)</f>
        <v>0</v>
      </c>
    </row>
    <row r="176" spans="1:16" ht="18.75" x14ac:dyDescent="0.25">
      <c r="A176" s="136"/>
      <c r="B176" s="41"/>
      <c r="C176" s="41"/>
      <c r="D176" s="42" t="s">
        <v>20</v>
      </c>
      <c r="E176" s="41"/>
      <c r="F176" s="41"/>
      <c r="G176" s="43"/>
      <c r="H176" s="143" t="s">
        <v>12</v>
      </c>
      <c r="I176" s="144"/>
      <c r="J176" s="144"/>
      <c r="K176" s="145"/>
      <c r="L176" s="47">
        <f ca="1">L177+L178</f>
        <v>19590</v>
      </c>
      <c r="M176" s="47">
        <f ca="1">M177+M178</f>
        <v>19590</v>
      </c>
      <c r="N176" s="47">
        <f ca="1">N177+N178</f>
        <v>0</v>
      </c>
      <c r="O176" s="47">
        <f ca="1">IF(L176&gt;0,N176*100/L176,0)</f>
        <v>0</v>
      </c>
      <c r="P176" s="47">
        <f ca="1">IF(M176&gt;0,N176*100/M176,0)</f>
        <v>0</v>
      </c>
    </row>
    <row r="177" spans="1:16" ht="18.75" hidden="1" x14ac:dyDescent="0.25">
      <c r="A177" s="136"/>
      <c r="B177" s="41"/>
      <c r="C177" s="41"/>
      <c r="D177" s="41"/>
      <c r="E177" s="279" t="s">
        <v>34</v>
      </c>
      <c r="F177" s="41"/>
      <c r="G177" s="43"/>
      <c r="H177" s="146" t="s">
        <v>12</v>
      </c>
      <c r="I177" s="144"/>
      <c r="J177" s="144"/>
      <c r="K177" s="145"/>
      <c r="L177" s="50">
        <v>0</v>
      </c>
      <c r="M177" s="50">
        <v>0</v>
      </c>
      <c r="N177" s="50">
        <v>0</v>
      </c>
      <c r="O177" s="50">
        <f>IF(L177&gt;0,N177*100/L177,0)</f>
        <v>0</v>
      </c>
      <c r="P177" s="50">
        <f>IF(M177&gt;0,N177*100/M177,0)</f>
        <v>0</v>
      </c>
    </row>
    <row r="178" spans="1:16" ht="18.75" x14ac:dyDescent="0.25">
      <c r="A178" s="136"/>
      <c r="B178" s="41"/>
      <c r="C178" s="41"/>
      <c r="D178" s="41"/>
      <c r="E178" s="254" t="s">
        <v>35</v>
      </c>
      <c r="F178" s="41"/>
      <c r="G178" s="43"/>
      <c r="H178" s="143" t="s">
        <v>12</v>
      </c>
      <c r="I178" s="144"/>
      <c r="J178" s="144"/>
      <c r="K178" s="145"/>
      <c r="L178" s="47">
        <f ca="1">IFERROR(__xludf.DUMMYFUNCTION("IMPORTRANGE(""https://docs.google.com/spreadsheets/d/1-uDff_7J0KD5mKrp0Vvzr7lt3OU09vwQwhkpOPPYv2Y/edit?usp=sharing"",""งบพรบ!CK28"")"),19590)</f>
        <v>19590</v>
      </c>
      <c r="M178" s="47">
        <f ca="1">IFERROR(__xludf.DUMMYFUNCTION("IMPORTRANGE(""https://docs.google.com/spreadsheets/d/1-uDff_7J0KD5mKrp0Vvzr7lt3OU09vwQwhkpOPPYv2Y/edit?usp=sharing"",""งบพรบ!CP28"")"),19590)</f>
        <v>19590</v>
      </c>
      <c r="N178" s="47">
        <f ca="1">IFERROR(__xludf.DUMMYFUNCTION("IMPORTRANGE(""https://docs.google.com/spreadsheets/d/1-uDff_7J0KD5mKrp0Vvzr7lt3OU09vwQwhkpOPPYv2Y/edit?usp=sharing"",""งบพรบ!CR28"")"),0)</f>
        <v>0</v>
      </c>
      <c r="O178" s="47">
        <f ca="1">IF(L178&gt;0,N178*100/L178,0)</f>
        <v>0</v>
      </c>
      <c r="P178" s="47">
        <f ca="1">IF(M178&gt;0,N178*100/M178,0)</f>
        <v>0</v>
      </c>
    </row>
    <row r="179" spans="1:16" ht="18.75" x14ac:dyDescent="0.25">
      <c r="A179" s="136"/>
      <c r="B179" s="41"/>
      <c r="C179" s="41"/>
      <c r="D179" s="42" t="s">
        <v>21</v>
      </c>
      <c r="E179" s="41"/>
      <c r="F179" s="41"/>
      <c r="G179" s="43"/>
      <c r="H179" s="147" t="s">
        <v>12</v>
      </c>
      <c r="I179" s="144"/>
      <c r="J179" s="144"/>
      <c r="K179" s="145"/>
      <c r="L179" s="47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</row>
    <row r="180" spans="1:16" ht="18.75" hidden="1" x14ac:dyDescent="0.25">
      <c r="A180" s="136"/>
      <c r="B180" s="41"/>
      <c r="C180" s="41"/>
      <c r="D180" s="41"/>
      <c r="E180" s="279" t="s">
        <v>18</v>
      </c>
      <c r="F180" s="41"/>
      <c r="G180" s="43"/>
      <c r="H180" s="146" t="s">
        <v>12</v>
      </c>
      <c r="I180" s="144"/>
      <c r="J180" s="144"/>
      <c r="K180" s="145"/>
      <c r="L180" s="50">
        <v>0</v>
      </c>
      <c r="M180" s="50">
        <v>0</v>
      </c>
      <c r="N180" s="50">
        <v>0</v>
      </c>
      <c r="O180" s="50">
        <f>IF(L180&gt;0,N180*100/L180,0)</f>
        <v>0</v>
      </c>
      <c r="P180" s="50">
        <f>IF(M180&gt;0,N180*100/M180,0)</f>
        <v>0</v>
      </c>
    </row>
    <row r="181" spans="1:16" ht="18.75" x14ac:dyDescent="0.25">
      <c r="A181" s="136"/>
      <c r="B181" s="41"/>
      <c r="C181" s="41"/>
      <c r="D181" s="41"/>
      <c r="E181" s="254" t="s">
        <v>19</v>
      </c>
      <c r="F181" s="41"/>
      <c r="G181" s="43"/>
      <c r="H181" s="147" t="s">
        <v>12</v>
      </c>
      <c r="I181" s="144"/>
      <c r="J181" s="144"/>
      <c r="K181" s="145"/>
      <c r="L181" s="47">
        <f ca="1">IFERROR(__xludf.DUMMYFUNCTION("IMPORTRANGE(""https://docs.google.com/spreadsheets/d/1-uDff_7J0KD5mKrp0Vvzr7lt3OU09vwQwhkpOPPYv2Y/edit?usp=sharing"",""งบพรบ!CN28"")"),0)</f>
        <v>0</v>
      </c>
      <c r="M181" s="47">
        <f ca="1">IFERROR(__xludf.DUMMYFUNCTION("IMPORTRANGE(""https://docs.google.com/spreadsheets/d/1-uDff_7J0KD5mKrp0Vvzr7lt3OU09vwQwhkpOPPYv2Y/edit?usp=sharing"",""งบพรบ!CQ28"")"),0)</f>
        <v>0</v>
      </c>
      <c r="N181" s="47">
        <f ca="1">IFERROR(__xludf.DUMMYFUNCTION("IMPORTRANGE(""https://docs.google.com/spreadsheets/d/1-uDff_7J0KD5mKrp0Vvzr7lt3OU09vwQwhkpOPPYv2Y/edit?usp=sharing"",""งบพรบ!CS28"")"),0)</f>
        <v>0</v>
      </c>
      <c r="O181" s="47">
        <f ca="1">IF(L181&gt;0,N181*100/L181,0)</f>
        <v>0</v>
      </c>
      <c r="P181" s="47">
        <f ca="1">IF(M181&gt;0,N181*100/M181,0)</f>
        <v>0</v>
      </c>
    </row>
    <row r="182" spans="1:16" ht="19.5" x14ac:dyDescent="0.3">
      <c r="A182" s="148"/>
      <c r="B182" s="149"/>
      <c r="C182" s="197" t="s">
        <v>16</v>
      </c>
      <c r="D182" s="395" t="s">
        <v>36</v>
      </c>
      <c r="E182" s="151"/>
      <c r="F182" s="151"/>
      <c r="G182" s="152"/>
      <c r="H182" s="196"/>
      <c r="I182" s="45"/>
      <c r="J182" s="45"/>
      <c r="K182" s="46"/>
      <c r="L182" s="46"/>
      <c r="M182" s="46"/>
      <c r="N182" s="46"/>
      <c r="O182" s="46"/>
      <c r="P182" s="46"/>
    </row>
    <row r="183" spans="1:16" ht="18.75" x14ac:dyDescent="0.25">
      <c r="A183" s="227"/>
      <c r="B183" s="41"/>
      <c r="C183" s="228"/>
      <c r="D183" s="229" t="s">
        <v>69</v>
      </c>
      <c r="E183" s="41"/>
      <c r="F183" s="41"/>
      <c r="G183" s="43"/>
      <c r="H183" s="230" t="s">
        <v>33</v>
      </c>
      <c r="I183" s="169">
        <f ca="1">IFERROR(__xludf.DUMMYFUNCTION("IMPORTRANGE(""https://docs.google.com/spreadsheets/d/1eHaY18a8A9IcSdp1K8H6x8fbOy06t2VsZHhMHf-1x7Y/edit?usp=sharing"",""แผน!AA28"")"),7)</f>
        <v>7</v>
      </c>
      <c r="J183" s="250">
        <v>0</v>
      </c>
      <c r="K183" s="47">
        <f ca="1">IF(I183&gt;0,J183*100/I183,0)</f>
        <v>0</v>
      </c>
      <c r="L183" s="46"/>
      <c r="M183" s="46"/>
      <c r="N183" s="46"/>
      <c r="O183" s="46"/>
      <c r="P183" s="46"/>
    </row>
    <row r="184" spans="1:16" ht="18.75" hidden="1" x14ac:dyDescent="0.25">
      <c r="A184" s="227"/>
      <c r="B184" s="228"/>
      <c r="C184" s="228"/>
      <c r="D184" s="231" t="s">
        <v>70</v>
      </c>
      <c r="E184" s="41"/>
      <c r="F184" s="41"/>
      <c r="G184" s="43"/>
      <c r="H184" s="232" t="s">
        <v>33</v>
      </c>
      <c r="I184" s="200">
        <v>0</v>
      </c>
      <c r="J184" s="200">
        <v>0</v>
      </c>
      <c r="K184" s="50">
        <f>IF(I184&gt;0,J184*100/I184,0)</f>
        <v>0</v>
      </c>
      <c r="L184" s="46"/>
      <c r="M184" s="46"/>
      <c r="N184" s="46"/>
      <c r="O184" s="46"/>
      <c r="P184" s="46"/>
    </row>
    <row r="185" spans="1:16" ht="19.5" x14ac:dyDescent="0.3">
      <c r="A185" s="220"/>
      <c r="B185" s="221" t="s">
        <v>71</v>
      </c>
      <c r="C185" s="222"/>
      <c r="D185" s="151"/>
      <c r="E185" s="151"/>
      <c r="F185" s="151"/>
      <c r="G185" s="152"/>
      <c r="H185" s="223" t="s">
        <v>33</v>
      </c>
      <c r="I185" s="224">
        <f ca="1">I230+I231</f>
        <v>0</v>
      </c>
      <c r="J185" s="224">
        <f>J230+J231</f>
        <v>0</v>
      </c>
      <c r="K185" s="225">
        <f ca="1">IF(I185&gt;0,J185*100/I185,0)</f>
        <v>0</v>
      </c>
      <c r="L185" s="226"/>
      <c r="M185" s="226"/>
      <c r="N185" s="226"/>
      <c r="O185" s="226"/>
      <c r="P185" s="226"/>
    </row>
    <row r="186" spans="1:16" ht="19.5" x14ac:dyDescent="0.3">
      <c r="A186" s="136"/>
      <c r="B186" s="41"/>
      <c r="C186" s="197" t="s">
        <v>16</v>
      </c>
      <c r="D186" s="397" t="s">
        <v>17</v>
      </c>
      <c r="E186" s="41"/>
      <c r="F186" s="41"/>
      <c r="G186" s="43"/>
      <c r="H186" s="139" t="s">
        <v>12</v>
      </c>
      <c r="I186" s="45"/>
      <c r="J186" s="45"/>
      <c r="K186" s="46"/>
      <c r="L186" s="140">
        <f ca="1">L187+L188</f>
        <v>66500</v>
      </c>
      <c r="M186" s="140">
        <f ca="1">M187+M188</f>
        <v>40500</v>
      </c>
      <c r="N186" s="140">
        <f ca="1">N187+N188</f>
        <v>0</v>
      </c>
      <c r="O186" s="140">
        <f ca="1">IF(L186&gt;0,N186*100/L186,0)</f>
        <v>0</v>
      </c>
      <c r="P186" s="140">
        <f ca="1">IF(M186&gt;0,N186*100/M186,0)</f>
        <v>0</v>
      </c>
    </row>
    <row r="187" spans="1:16" ht="18.75" hidden="1" x14ac:dyDescent="0.25">
      <c r="A187" s="136"/>
      <c r="B187" s="41"/>
      <c r="C187" s="41"/>
      <c r="D187" s="41"/>
      <c r="E187" s="279" t="s">
        <v>18</v>
      </c>
      <c r="F187" s="41"/>
      <c r="G187" s="43"/>
      <c r="H187" s="141" t="s">
        <v>12</v>
      </c>
      <c r="I187" s="45"/>
      <c r="J187" s="45"/>
      <c r="K187" s="46"/>
      <c r="L187" s="50">
        <f>L190+L193</f>
        <v>0</v>
      </c>
      <c r="M187" s="50">
        <f>M190+M193</f>
        <v>0</v>
      </c>
      <c r="N187" s="50">
        <f>N190+N193</f>
        <v>0</v>
      </c>
      <c r="O187" s="50">
        <f>IF(L187&gt;0,N187*100/L187,0)</f>
        <v>0</v>
      </c>
      <c r="P187" s="50">
        <f>IF(M187&gt;0,N187*100/M187,0)</f>
        <v>0</v>
      </c>
    </row>
    <row r="188" spans="1:16" ht="18.75" x14ac:dyDescent="0.25">
      <c r="A188" s="136"/>
      <c r="B188" s="41"/>
      <c r="C188" s="41"/>
      <c r="D188" s="41"/>
      <c r="E188" s="254" t="s">
        <v>19</v>
      </c>
      <c r="F188" s="41"/>
      <c r="G188" s="43"/>
      <c r="H188" s="142" t="s">
        <v>12</v>
      </c>
      <c r="I188" s="45"/>
      <c r="J188" s="45"/>
      <c r="K188" s="46"/>
      <c r="L188" s="47">
        <f ca="1">L191+L194</f>
        <v>66500</v>
      </c>
      <c r="M188" s="47">
        <f ca="1">M191+M194</f>
        <v>40500</v>
      </c>
      <c r="N188" s="47">
        <f ca="1">N191+N194</f>
        <v>0</v>
      </c>
      <c r="O188" s="47">
        <f ca="1">IF(L188&gt;0,N188*100/L188,0)</f>
        <v>0</v>
      </c>
      <c r="P188" s="47">
        <f ca="1">IF(M188&gt;0,N188*100/M188,0)</f>
        <v>0</v>
      </c>
    </row>
    <row r="189" spans="1:16" ht="18.75" x14ac:dyDescent="0.25">
      <c r="A189" s="136"/>
      <c r="B189" s="41"/>
      <c r="C189" s="41"/>
      <c r="D189" s="42" t="s">
        <v>20</v>
      </c>
      <c r="E189" s="41"/>
      <c r="F189" s="41"/>
      <c r="G189" s="43"/>
      <c r="H189" s="143" t="s">
        <v>12</v>
      </c>
      <c r="I189" s="144"/>
      <c r="J189" s="144"/>
      <c r="K189" s="145"/>
      <c r="L189" s="47">
        <f ca="1">L190+L191</f>
        <v>66500</v>
      </c>
      <c r="M189" s="47">
        <f ca="1">M190+M191</f>
        <v>40500</v>
      </c>
      <c r="N189" s="47">
        <f ca="1">N190+N191</f>
        <v>0</v>
      </c>
      <c r="O189" s="47">
        <f ca="1">IF(L189&gt;0,N189*100/L189,0)</f>
        <v>0</v>
      </c>
      <c r="P189" s="47">
        <f ca="1">IF(M189&gt;0,N189*100/M189,0)</f>
        <v>0</v>
      </c>
    </row>
    <row r="190" spans="1:16" ht="18.75" hidden="1" x14ac:dyDescent="0.25">
      <c r="A190" s="136"/>
      <c r="B190" s="41"/>
      <c r="C190" s="41"/>
      <c r="D190" s="41"/>
      <c r="E190" s="279" t="s">
        <v>34</v>
      </c>
      <c r="F190" s="41"/>
      <c r="G190" s="43"/>
      <c r="H190" s="146" t="s">
        <v>12</v>
      </c>
      <c r="I190" s="144"/>
      <c r="J190" s="144"/>
      <c r="K190" s="145"/>
      <c r="L190" s="50">
        <v>0</v>
      </c>
      <c r="M190" s="50">
        <v>0</v>
      </c>
      <c r="N190" s="50">
        <v>0</v>
      </c>
      <c r="O190" s="50">
        <f>IF(L190&gt;0,N190*100/L190,0)</f>
        <v>0</v>
      </c>
      <c r="P190" s="50">
        <f>IF(M190&gt;0,N190*100/M190,0)</f>
        <v>0</v>
      </c>
    </row>
    <row r="191" spans="1:16" ht="18.75" x14ac:dyDescent="0.25">
      <c r="A191" s="136"/>
      <c r="B191" s="41"/>
      <c r="C191" s="41"/>
      <c r="D191" s="41"/>
      <c r="E191" s="254" t="s">
        <v>35</v>
      </c>
      <c r="F191" s="41"/>
      <c r="G191" s="43"/>
      <c r="H191" s="143" t="s">
        <v>12</v>
      </c>
      <c r="I191" s="144"/>
      <c r="J191" s="144"/>
      <c r="K191" s="145"/>
      <c r="L191" s="47">
        <f ca="1">IFERROR(__xludf.DUMMYFUNCTION("IMPORTRANGE(""https://docs.google.com/spreadsheets/d/1-uDff_7J0KD5mKrp0Vvzr7lt3OU09vwQwhkpOPPYv2Y/edit?usp=sharing"",""งบพรบ!CU28"")"),66500)</f>
        <v>66500</v>
      </c>
      <c r="M191" s="47">
        <f ca="1">IFERROR(__xludf.DUMMYFUNCTION("IMPORTRANGE(""https://docs.google.com/spreadsheets/d/1-uDff_7J0KD5mKrp0Vvzr7lt3OU09vwQwhkpOPPYv2Y/edit?usp=sharing"",""งบพรบ!CZ28"")"),40500)</f>
        <v>40500</v>
      </c>
      <c r="N191" s="47">
        <f ca="1">IFERROR(__xludf.DUMMYFUNCTION("IMPORTRANGE(""https://docs.google.com/spreadsheets/d/1-uDff_7J0KD5mKrp0Vvzr7lt3OU09vwQwhkpOPPYv2Y/edit?usp=sharing"",""งบพรบ!DB28"")"),0)</f>
        <v>0</v>
      </c>
      <c r="O191" s="47">
        <f ca="1">IF(L191&gt;0,N191*100/L191,0)</f>
        <v>0</v>
      </c>
      <c r="P191" s="47">
        <f ca="1">IF(M191&gt;0,N191*100/M191,0)</f>
        <v>0</v>
      </c>
    </row>
    <row r="192" spans="1:16" ht="18.75" x14ac:dyDescent="0.25">
      <c r="A192" s="136"/>
      <c r="B192" s="41"/>
      <c r="C192" s="41"/>
      <c r="D192" s="42" t="s">
        <v>21</v>
      </c>
      <c r="E192" s="41"/>
      <c r="F192" s="41"/>
      <c r="G192" s="43"/>
      <c r="H192" s="147" t="s">
        <v>12</v>
      </c>
      <c r="I192" s="144"/>
      <c r="J192" s="144"/>
      <c r="K192" s="145"/>
      <c r="L192" s="47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</row>
    <row r="193" spans="1:16" ht="18.75" hidden="1" x14ac:dyDescent="0.25">
      <c r="A193" s="136"/>
      <c r="B193" s="41"/>
      <c r="C193" s="41"/>
      <c r="D193" s="41"/>
      <c r="E193" s="279" t="s">
        <v>18</v>
      </c>
      <c r="F193" s="41"/>
      <c r="G193" s="43"/>
      <c r="H193" s="146" t="s">
        <v>12</v>
      </c>
      <c r="I193" s="144"/>
      <c r="J193" s="144"/>
      <c r="K193" s="145"/>
      <c r="L193" s="50">
        <v>0</v>
      </c>
      <c r="M193" s="50">
        <v>0</v>
      </c>
      <c r="N193" s="50">
        <v>0</v>
      </c>
      <c r="O193" s="50">
        <f>IF(L193&gt;0,N193*100/L193,0)</f>
        <v>0</v>
      </c>
      <c r="P193" s="50">
        <f>IF(M193&gt;0,N193*100/M193,0)</f>
        <v>0</v>
      </c>
    </row>
    <row r="194" spans="1:16" ht="18.75" x14ac:dyDescent="0.25">
      <c r="A194" s="136"/>
      <c r="B194" s="41"/>
      <c r="C194" s="41"/>
      <c r="D194" s="41"/>
      <c r="E194" s="254" t="s">
        <v>19</v>
      </c>
      <c r="F194" s="41"/>
      <c r="G194" s="43"/>
      <c r="H194" s="147" t="s">
        <v>12</v>
      </c>
      <c r="I194" s="144"/>
      <c r="J194" s="144"/>
      <c r="K194" s="145"/>
      <c r="L194" s="47">
        <f ca="1">IFERROR(__xludf.DUMMYFUNCTION("IMPORTRANGE(""https://docs.google.com/spreadsheets/d/1-uDff_7J0KD5mKrp0Vvzr7lt3OU09vwQwhkpOPPYv2Y/edit?usp=sharing"",""งบพรบ!CX28"")"),0)</f>
        <v>0</v>
      </c>
      <c r="M194" s="47">
        <f ca="1">IFERROR(__xludf.DUMMYFUNCTION("IMPORTRANGE(""https://docs.google.com/spreadsheets/d/1-uDff_7J0KD5mKrp0Vvzr7lt3OU09vwQwhkpOPPYv2Y/edit?usp=sharing"",""งบพรบ!DA28"")"),0)</f>
        <v>0</v>
      </c>
      <c r="N194" s="47">
        <f ca="1">IFERROR(__xludf.DUMMYFUNCTION("IMPORTRANGE(""https://docs.google.com/spreadsheets/d/1-uDff_7J0KD5mKrp0Vvzr7lt3OU09vwQwhkpOPPYv2Y/edit?usp=sharing"",""งบพรบ!DC28"")"),0)</f>
        <v>0</v>
      </c>
      <c r="O194" s="47">
        <f ca="1">IF(L194&gt;0,N194*100/L194,0)</f>
        <v>0</v>
      </c>
      <c r="P194" s="47">
        <f ca="1">IF(M194&gt;0,N194*100/M194,0)</f>
        <v>0</v>
      </c>
    </row>
    <row r="195" spans="1:16" ht="19.5" x14ac:dyDescent="0.3">
      <c r="A195" s="233"/>
      <c r="B195" s="234"/>
      <c r="C195" s="235" t="s">
        <v>72</v>
      </c>
      <c r="D195" s="236"/>
      <c r="E195" s="236"/>
      <c r="F195" s="236"/>
      <c r="G195" s="237"/>
      <c r="H195" s="238" t="s">
        <v>73</v>
      </c>
      <c r="I195" s="239">
        <f ca="1">I198</f>
        <v>4</v>
      </c>
      <c r="J195" s="239">
        <f>J198</f>
        <v>0</v>
      </c>
      <c r="K195" s="240">
        <f ca="1">IF(I195&gt;0,J195*100/I195,0)</f>
        <v>0</v>
      </c>
      <c r="L195" s="241"/>
      <c r="M195" s="241"/>
      <c r="N195" s="241"/>
      <c r="O195" s="241"/>
      <c r="P195" s="241"/>
    </row>
    <row r="196" spans="1:16" ht="19.5" x14ac:dyDescent="0.3">
      <c r="A196" s="136"/>
      <c r="B196" s="41"/>
      <c r="C196" s="197" t="s">
        <v>16</v>
      </c>
      <c r="D196" s="400" t="s">
        <v>17</v>
      </c>
      <c r="E196" s="41"/>
      <c r="F196" s="41"/>
      <c r="G196" s="43"/>
      <c r="H196" s="243" t="s">
        <v>12</v>
      </c>
      <c r="I196" s="45"/>
      <c r="J196" s="45"/>
      <c r="K196" s="46"/>
      <c r="L196" s="140">
        <f ca="1">IFERROR(__xludf.DUMMYFUNCTION("IMPORTRANGE(""https://docs.google.com/spreadsheets/d/1eHaY18a8A9IcSdp1K8H6x8fbOy06t2VsZHhMHf-1x7Y/edit?usp=sharing"",""แผน!AB28"")"),6000)</f>
        <v>6000</v>
      </c>
      <c r="M196" s="46"/>
      <c r="N196" s="244">
        <v>0</v>
      </c>
      <c r="O196" s="140">
        <f ca="1">IF(L196&gt;0,N196*100/L196,0)</f>
        <v>0</v>
      </c>
      <c r="P196" s="140">
        <f>IF(M196&gt;0,N196*100/M196,0)</f>
        <v>0</v>
      </c>
    </row>
    <row r="197" spans="1:16" ht="19.5" x14ac:dyDescent="0.3">
      <c r="A197" s="148"/>
      <c r="B197" s="149"/>
      <c r="C197" s="197" t="s">
        <v>16</v>
      </c>
      <c r="D197" s="395" t="s">
        <v>36</v>
      </c>
      <c r="E197" s="151"/>
      <c r="F197" s="151"/>
      <c r="G197" s="152"/>
      <c r="H197" s="153"/>
      <c r="I197" s="45"/>
      <c r="J197" s="45"/>
      <c r="K197" s="46"/>
      <c r="L197" s="46"/>
      <c r="M197" s="46"/>
      <c r="N197" s="46"/>
      <c r="O197" s="46"/>
      <c r="P197" s="46"/>
    </row>
    <row r="198" spans="1:16" ht="18.75" x14ac:dyDescent="0.25">
      <c r="A198" s="148"/>
      <c r="B198" s="149"/>
      <c r="C198" s="149"/>
      <c r="D198" s="159" t="s">
        <v>74</v>
      </c>
      <c r="E198" s="155"/>
      <c r="F198" s="155"/>
      <c r="G198" s="153"/>
      <c r="H198" s="251" t="s">
        <v>73</v>
      </c>
      <c r="I198" s="169">
        <f ca="1">IFERROR(__xludf.DUMMYFUNCTION("IMPORTRANGE(""https://docs.google.com/spreadsheets/d/1eHaY18a8A9IcSdp1K8H6x8fbOy06t2VsZHhMHf-1x7Y/edit?usp=sharing"",""แผน!AE28"")"),4)</f>
        <v>4</v>
      </c>
      <c r="J198" s="250">
        <v>0</v>
      </c>
      <c r="K198" s="47">
        <f ca="1">IF(I198&gt;0,J198*100/I198,0)</f>
        <v>0</v>
      </c>
      <c r="L198" s="46"/>
      <c r="M198" s="46"/>
      <c r="N198" s="46"/>
      <c r="O198" s="46"/>
      <c r="P198" s="46"/>
    </row>
    <row r="199" spans="1:16" ht="18.75" x14ac:dyDescent="0.25">
      <c r="A199" s="148"/>
      <c r="B199" s="149"/>
      <c r="C199" s="149"/>
      <c r="D199" s="159" t="s">
        <v>75</v>
      </c>
      <c r="E199" s="155"/>
      <c r="F199" s="155"/>
      <c r="G199" s="153"/>
      <c r="H199" s="230" t="s">
        <v>33</v>
      </c>
      <c r="I199" s="45"/>
      <c r="J199" s="169">
        <f>J200+J201</f>
        <v>0</v>
      </c>
      <c r="K199" s="46"/>
      <c r="L199" s="46"/>
      <c r="M199" s="46"/>
      <c r="N199" s="46"/>
      <c r="O199" s="46"/>
      <c r="P199" s="46"/>
    </row>
    <row r="200" spans="1:16" ht="18.75" x14ac:dyDescent="0.25">
      <c r="A200" s="148"/>
      <c r="B200" s="149"/>
      <c r="C200" s="149"/>
      <c r="D200" s="149"/>
      <c r="E200" s="159" t="s">
        <v>76</v>
      </c>
      <c r="F200" s="155"/>
      <c r="G200" s="153"/>
      <c r="H200" s="230" t="s">
        <v>33</v>
      </c>
      <c r="I200" s="45"/>
      <c r="J200" s="250">
        <v>0</v>
      </c>
      <c r="K200" s="46"/>
      <c r="L200" s="46"/>
      <c r="M200" s="46"/>
      <c r="N200" s="46"/>
      <c r="O200" s="46"/>
      <c r="P200" s="46"/>
    </row>
    <row r="201" spans="1:16" ht="18.75" x14ac:dyDescent="0.25">
      <c r="A201" s="148"/>
      <c r="B201" s="149"/>
      <c r="C201" s="149"/>
      <c r="D201" s="149"/>
      <c r="E201" s="159" t="s">
        <v>77</v>
      </c>
      <c r="F201" s="155"/>
      <c r="G201" s="153"/>
      <c r="H201" s="230" t="s">
        <v>33</v>
      </c>
      <c r="I201" s="45"/>
      <c r="J201" s="250">
        <v>0</v>
      </c>
      <c r="K201" s="46"/>
      <c r="L201" s="46"/>
      <c r="M201" s="46"/>
      <c r="N201" s="46"/>
      <c r="O201" s="46"/>
      <c r="P201" s="46"/>
    </row>
    <row r="202" spans="1:16" ht="19.5" x14ac:dyDescent="0.3">
      <c r="A202" s="233"/>
      <c r="B202" s="234"/>
      <c r="C202" s="235" t="s">
        <v>78</v>
      </c>
      <c r="D202" s="236"/>
      <c r="E202" s="236"/>
      <c r="F202" s="236"/>
      <c r="G202" s="237"/>
      <c r="H202" s="245" t="s">
        <v>79</v>
      </c>
      <c r="I202" s="239">
        <f ca="1">I209</f>
        <v>4</v>
      </c>
      <c r="J202" s="239">
        <f>J209</f>
        <v>0</v>
      </c>
      <c r="K202" s="240">
        <f ca="1">IF(I202&gt;0,J202*100/I202,0)</f>
        <v>0</v>
      </c>
      <c r="L202" s="241"/>
      <c r="M202" s="241"/>
      <c r="N202" s="241"/>
      <c r="O202" s="241"/>
      <c r="P202" s="241"/>
    </row>
    <row r="203" spans="1:16" ht="19.5" x14ac:dyDescent="0.3">
      <c r="A203" s="136"/>
      <c r="B203" s="41"/>
      <c r="C203" s="197" t="s">
        <v>16</v>
      </c>
      <c r="D203" s="400" t="s">
        <v>17</v>
      </c>
      <c r="E203" s="41"/>
      <c r="F203" s="41"/>
      <c r="G203" s="43"/>
      <c r="H203" s="243" t="s">
        <v>12</v>
      </c>
      <c r="I203" s="144"/>
      <c r="J203" s="144"/>
      <c r="K203" s="145"/>
      <c r="L203" s="140">
        <f ca="1">L204+L205+L206+L207</f>
        <v>52000</v>
      </c>
      <c r="M203" s="46"/>
      <c r="N203" s="140">
        <f>N204+N205+N206+N207</f>
        <v>0</v>
      </c>
      <c r="O203" s="140">
        <f ca="1">IF(L203&gt;0,N203*100/L203,0)</f>
        <v>0</v>
      </c>
      <c r="P203" s="140">
        <f>IF(M203&gt;0,N203*100/M203,0)</f>
        <v>0</v>
      </c>
    </row>
    <row r="204" spans="1:16" ht="18.75" x14ac:dyDescent="0.25">
      <c r="A204" s="136"/>
      <c r="B204" s="228"/>
      <c r="C204" s="41"/>
      <c r="D204" s="253" t="s">
        <v>153</v>
      </c>
      <c r="E204" s="41"/>
      <c r="F204" s="41"/>
      <c r="G204" s="43"/>
      <c r="H204" s="143" t="s">
        <v>12</v>
      </c>
      <c r="I204" s="144"/>
      <c r="J204" s="144"/>
      <c r="K204" s="145"/>
      <c r="L204" s="47">
        <f ca="1">IFERROR(__xludf.DUMMYFUNCTION("IMPORTRANGE(""https://docs.google.com/spreadsheets/d/1eHaY18a8A9IcSdp1K8H6x8fbOy06t2VsZHhMHf-1x7Y/edit?usp=sharing"",""แผน!AG28"")"),4000)</f>
        <v>4000</v>
      </c>
      <c r="M204" s="46"/>
      <c r="N204" s="248">
        <v>0</v>
      </c>
      <c r="O204" s="145"/>
      <c r="P204" s="46"/>
    </row>
    <row r="205" spans="1:16" ht="18.75" x14ac:dyDescent="0.25">
      <c r="A205" s="227"/>
      <c r="B205" s="228"/>
      <c r="C205" s="41"/>
      <c r="D205" s="254" t="s">
        <v>81</v>
      </c>
      <c r="E205" s="41"/>
      <c r="F205" s="41"/>
      <c r="G205" s="43"/>
      <c r="H205" s="44" t="s">
        <v>12</v>
      </c>
      <c r="I205" s="45"/>
      <c r="J205" s="45"/>
      <c r="K205" s="46"/>
      <c r="L205" s="47">
        <f ca="1">IFERROR(__xludf.DUMMYFUNCTION("IMPORTRANGE(""https://docs.google.com/spreadsheets/d/1eHaY18a8A9IcSdp1K8H6x8fbOy06t2VsZHhMHf-1x7Y/edit?usp=sharing"",""แผน!AH28"")"),0)</f>
        <v>0</v>
      </c>
      <c r="M205" s="46"/>
      <c r="N205" s="248">
        <v>0</v>
      </c>
      <c r="O205" s="145"/>
      <c r="P205" s="46"/>
    </row>
    <row r="206" spans="1:16" ht="18.75" x14ac:dyDescent="0.25">
      <c r="A206" s="227"/>
      <c r="B206" s="228"/>
      <c r="C206" s="41"/>
      <c r="D206" s="254" t="s">
        <v>82</v>
      </c>
      <c r="E206" s="41"/>
      <c r="F206" s="41"/>
      <c r="G206" s="43"/>
      <c r="H206" s="44" t="s">
        <v>12</v>
      </c>
      <c r="I206" s="45"/>
      <c r="J206" s="45"/>
      <c r="K206" s="46"/>
      <c r="L206" s="47">
        <f ca="1">IFERROR(__xludf.DUMMYFUNCTION("IMPORTRANGE(""https://docs.google.com/spreadsheets/d/1eHaY18a8A9IcSdp1K8H6x8fbOy06t2VsZHhMHf-1x7Y/edit?usp=sharing"",""แผน!AI28"")"),32000)</f>
        <v>32000</v>
      </c>
      <c r="M206" s="46"/>
      <c r="N206" s="248">
        <v>0</v>
      </c>
      <c r="O206" s="145"/>
      <c r="P206" s="46"/>
    </row>
    <row r="207" spans="1:16" ht="18.75" x14ac:dyDescent="0.25">
      <c r="A207" s="227"/>
      <c r="B207" s="228"/>
      <c r="C207" s="41"/>
      <c r="D207" s="254" t="s">
        <v>83</v>
      </c>
      <c r="E207" s="41"/>
      <c r="F207" s="41"/>
      <c r="G207" s="43"/>
      <c r="H207" s="44" t="s">
        <v>12</v>
      </c>
      <c r="I207" s="45"/>
      <c r="J207" s="45"/>
      <c r="K207" s="46"/>
      <c r="L207" s="47">
        <f ca="1">IFERROR(__xludf.DUMMYFUNCTION("IMPORTRANGE(""https://docs.google.com/spreadsheets/d/1eHaY18a8A9IcSdp1K8H6x8fbOy06t2VsZHhMHf-1x7Y/edit?usp=sharing"",""แผน!AJ28"")"),16000)</f>
        <v>16000</v>
      </c>
      <c r="M207" s="46"/>
      <c r="N207" s="248">
        <v>0</v>
      </c>
      <c r="O207" s="145"/>
      <c r="P207" s="46"/>
    </row>
    <row r="208" spans="1:16" ht="19.5" x14ac:dyDescent="0.3">
      <c r="A208" s="148"/>
      <c r="B208" s="149"/>
      <c r="C208" s="197" t="s">
        <v>16</v>
      </c>
      <c r="D208" s="395" t="s">
        <v>36</v>
      </c>
      <c r="E208" s="151"/>
      <c r="F208" s="151"/>
      <c r="G208" s="152"/>
      <c r="H208" s="153"/>
      <c r="I208" s="144"/>
      <c r="J208" s="144"/>
      <c r="K208" s="145"/>
      <c r="L208" s="145"/>
      <c r="M208" s="145"/>
      <c r="N208" s="145"/>
      <c r="O208" s="145"/>
      <c r="P208" s="145"/>
    </row>
    <row r="209" spans="1:16" ht="18.75" x14ac:dyDescent="0.25">
      <c r="A209" s="148"/>
      <c r="B209" s="149"/>
      <c r="C209" s="149"/>
      <c r="D209" s="154" t="s">
        <v>84</v>
      </c>
      <c r="E209" s="155"/>
      <c r="F209" s="155"/>
      <c r="G209" s="153"/>
      <c r="H209" s="249" t="s">
        <v>79</v>
      </c>
      <c r="I209" s="169">
        <f ca="1">IFERROR(__xludf.DUMMYFUNCTION("IMPORTRANGE(""https://docs.google.com/spreadsheets/d/1eHaY18a8A9IcSdp1K8H6x8fbOy06t2VsZHhMHf-1x7Y/edit?usp=sharing"",""แผน!AK28"")"),4)</f>
        <v>4</v>
      </c>
      <c r="J209" s="250">
        <v>0</v>
      </c>
      <c r="K209" s="163">
        <f ca="1">IF(I209&gt;0,J209*100/I209,0)</f>
        <v>0</v>
      </c>
      <c r="L209" s="46"/>
      <c r="M209" s="46"/>
      <c r="N209" s="46"/>
      <c r="O209" s="46"/>
      <c r="P209" s="46"/>
    </row>
    <row r="210" spans="1:16" ht="18.75" x14ac:dyDescent="0.25">
      <c r="A210" s="148"/>
      <c r="B210" s="149"/>
      <c r="C210" s="149"/>
      <c r="D210" s="159" t="s">
        <v>48</v>
      </c>
      <c r="E210" s="155"/>
      <c r="F210" s="155"/>
      <c r="G210" s="153"/>
      <c r="H210" s="153"/>
      <c r="I210" s="45"/>
      <c r="J210" s="45"/>
      <c r="K210" s="145"/>
      <c r="L210" s="46"/>
      <c r="M210" s="46"/>
      <c r="N210" s="46"/>
      <c r="O210" s="46"/>
      <c r="P210" s="46"/>
    </row>
    <row r="211" spans="1:16" ht="18.75" x14ac:dyDescent="0.25">
      <c r="A211" s="148"/>
      <c r="B211" s="149"/>
      <c r="C211" s="149"/>
      <c r="D211" s="155"/>
      <c r="E211" s="159" t="s">
        <v>85</v>
      </c>
      <c r="F211" s="155"/>
      <c r="G211" s="153"/>
      <c r="H211" s="249" t="s">
        <v>79</v>
      </c>
      <c r="I211" s="169">
        <f ca="1">IFERROR(__xludf.DUMMYFUNCTION("IMPORTRANGE(""https://docs.google.com/spreadsheets/d/1eHaY18a8A9IcSdp1K8H6x8fbOy06t2VsZHhMHf-1x7Y/edit?usp=sharing"",""แผน!AK28"")"),4)</f>
        <v>4</v>
      </c>
      <c r="J211" s="250">
        <v>0</v>
      </c>
      <c r="K211" s="163">
        <f ca="1">IF(I211&gt;0,J211*100/I211,0)</f>
        <v>0</v>
      </c>
      <c r="L211" s="46"/>
      <c r="M211" s="46"/>
      <c r="N211" s="46"/>
      <c r="O211" s="46"/>
      <c r="P211" s="46"/>
    </row>
    <row r="212" spans="1:16" ht="18.75" x14ac:dyDescent="0.25">
      <c r="A212" s="148"/>
      <c r="B212" s="149"/>
      <c r="C212" s="149"/>
      <c r="D212" s="155"/>
      <c r="E212" s="159" t="s">
        <v>86</v>
      </c>
      <c r="F212" s="155"/>
      <c r="G212" s="155"/>
      <c r="H212" s="251" t="s">
        <v>87</v>
      </c>
      <c r="I212" s="169">
        <f ca="1">IFERROR(__xludf.DUMMYFUNCTION("IMPORTRANGE(""https://docs.google.com/spreadsheets/d/1eHaY18a8A9IcSdp1K8H6x8fbOy06t2VsZHhMHf-1x7Y/edit?usp=sharing"",""แผน!AK28"")"),4)</f>
        <v>4</v>
      </c>
      <c r="J212" s="250">
        <v>0</v>
      </c>
      <c r="K212" s="163">
        <f ca="1">IF(I212&gt;0,J212*100/I212,0)</f>
        <v>0</v>
      </c>
      <c r="L212" s="46"/>
      <c r="M212" s="46"/>
      <c r="N212" s="46"/>
      <c r="O212" s="46"/>
      <c r="P212" s="46"/>
    </row>
    <row r="213" spans="1:16" ht="19.5" hidden="1" x14ac:dyDescent="0.3">
      <c r="A213" s="233"/>
      <c r="B213" s="234"/>
      <c r="C213" s="235" t="s">
        <v>88</v>
      </c>
      <c r="D213" s="236"/>
      <c r="E213" s="236"/>
      <c r="F213" s="236"/>
      <c r="G213" s="237"/>
      <c r="H213" s="245" t="s">
        <v>79</v>
      </c>
      <c r="I213" s="239">
        <f ca="1">I220</f>
        <v>0</v>
      </c>
      <c r="J213" s="239">
        <f>J220</f>
        <v>0</v>
      </c>
      <c r="K213" s="240">
        <f ca="1">IF(I213&gt;0,J213*100/I213,0)</f>
        <v>0</v>
      </c>
      <c r="L213" s="241"/>
      <c r="M213" s="241"/>
      <c r="N213" s="241"/>
      <c r="O213" s="241"/>
      <c r="P213" s="241"/>
    </row>
    <row r="214" spans="1:16" ht="19.5" hidden="1" x14ac:dyDescent="0.3">
      <c r="A214" s="136"/>
      <c r="B214" s="41"/>
      <c r="C214" s="197" t="s">
        <v>16</v>
      </c>
      <c r="D214" s="400" t="s">
        <v>17</v>
      </c>
      <c r="E214" s="41"/>
      <c r="F214" s="41"/>
      <c r="G214" s="43"/>
      <c r="H214" s="243" t="s">
        <v>12</v>
      </c>
      <c r="I214" s="144"/>
      <c r="J214" s="144"/>
      <c r="K214" s="145"/>
      <c r="L214" s="140">
        <f ca="1">L215+L216+L217</f>
        <v>0</v>
      </c>
      <c r="M214" s="46"/>
      <c r="N214" s="140">
        <f>N215+N216+N217</f>
        <v>0</v>
      </c>
      <c r="O214" s="140">
        <f ca="1">IF(L214&gt;0,N214*100/L214,0)</f>
        <v>0</v>
      </c>
      <c r="P214" s="140">
        <f>IF(M214&gt;0,N214*100/M214,0)</f>
        <v>0</v>
      </c>
    </row>
    <row r="215" spans="1:16" ht="18.75" hidden="1" x14ac:dyDescent="0.25">
      <c r="A215" s="136"/>
      <c r="B215" s="228"/>
      <c r="C215" s="41"/>
      <c r="D215" s="254" t="s">
        <v>80</v>
      </c>
      <c r="E215" s="41"/>
      <c r="F215" s="41"/>
      <c r="G215" s="43"/>
      <c r="H215" s="143" t="s">
        <v>12</v>
      </c>
      <c r="I215" s="144"/>
      <c r="J215" s="144"/>
      <c r="K215" s="145"/>
      <c r="L215" s="47">
        <f ca="1">IFERROR(__xludf.DUMMYFUNCTION("IMPORTRANGE(""https://docs.google.com/spreadsheets/d/1eHaY18a8A9IcSdp1K8H6x8fbOy06t2VsZHhMHf-1x7Y/edit?usp=sharing"",""แผน!AM28"")"),0)</f>
        <v>0</v>
      </c>
      <c r="M215" s="46"/>
      <c r="N215" s="248">
        <v>0</v>
      </c>
      <c r="O215" s="145"/>
      <c r="P215" s="46"/>
    </row>
    <row r="216" spans="1:16" ht="18.75" hidden="1" x14ac:dyDescent="0.25">
      <c r="A216" s="227"/>
      <c r="B216" s="228"/>
      <c r="C216" s="228"/>
      <c r="D216" s="254" t="s">
        <v>89</v>
      </c>
      <c r="E216" s="41"/>
      <c r="F216" s="41"/>
      <c r="G216" s="43"/>
      <c r="H216" s="143" t="s">
        <v>12</v>
      </c>
      <c r="I216" s="45"/>
      <c r="J216" s="45"/>
      <c r="K216" s="46"/>
      <c r="L216" s="47">
        <f ca="1">IFERROR(__xludf.DUMMYFUNCTION("IMPORTRANGE(""https://docs.google.com/spreadsheets/d/1eHaY18a8A9IcSdp1K8H6x8fbOy06t2VsZHhMHf-1x7Y/edit?usp=sharing"",""แผน!AN28"")"),0)</f>
        <v>0</v>
      </c>
      <c r="M216" s="46"/>
      <c r="N216" s="248">
        <v>0</v>
      </c>
      <c r="O216" s="145"/>
      <c r="P216" s="46"/>
    </row>
    <row r="217" spans="1:16" ht="18.75" hidden="1" x14ac:dyDescent="0.25">
      <c r="A217" s="227"/>
      <c r="B217" s="228"/>
      <c r="C217" s="228"/>
      <c r="D217" s="254" t="s">
        <v>82</v>
      </c>
      <c r="E217" s="41"/>
      <c r="F217" s="41"/>
      <c r="G217" s="43"/>
      <c r="H217" s="143" t="s">
        <v>12</v>
      </c>
      <c r="I217" s="45"/>
      <c r="J217" s="45"/>
      <c r="K217" s="46"/>
      <c r="L217" s="47">
        <f ca="1">IFERROR(__xludf.DUMMYFUNCTION("IMPORTRANGE(""https://docs.google.com/spreadsheets/d/1eHaY18a8A9IcSdp1K8H6x8fbOy06t2VsZHhMHf-1x7Y/edit?usp=sharing"",""แผน!AO28"")"),0)</f>
        <v>0</v>
      </c>
      <c r="M217" s="46"/>
      <c r="N217" s="248">
        <v>0</v>
      </c>
      <c r="O217" s="145"/>
      <c r="P217" s="46"/>
    </row>
    <row r="218" spans="1:16" ht="19.5" hidden="1" x14ac:dyDescent="0.3">
      <c r="A218" s="148"/>
      <c r="B218" s="149"/>
      <c r="C218" s="252" t="s">
        <v>16</v>
      </c>
      <c r="D218" s="395" t="s">
        <v>36</v>
      </c>
      <c r="E218" s="151"/>
      <c r="F218" s="151"/>
      <c r="G218" s="152"/>
      <c r="H218" s="153"/>
      <c r="I218" s="144"/>
      <c r="J218" s="45"/>
      <c r="K218" s="46"/>
      <c r="L218" s="46"/>
      <c r="M218" s="46"/>
      <c r="N218" s="46"/>
      <c r="O218" s="145"/>
      <c r="P218" s="145"/>
    </row>
    <row r="219" spans="1:16" ht="18.75" hidden="1" x14ac:dyDescent="0.25">
      <c r="A219" s="148"/>
      <c r="B219" s="149"/>
      <c r="C219" s="149"/>
      <c r="D219" s="154" t="s">
        <v>90</v>
      </c>
      <c r="E219" s="155"/>
      <c r="F219" s="155"/>
      <c r="G219" s="153"/>
      <c r="H219" s="249" t="s">
        <v>79</v>
      </c>
      <c r="I219" s="169">
        <f ca="1">IFERROR(__xludf.DUMMYFUNCTION("IMPORTRANGE(""https://docs.google.com/spreadsheets/d/1eHaY18a8A9IcSdp1K8H6x8fbOy06t2VsZHhMHf-1x7Y/edit?usp=sharing"",""แผน!AP28"")"),0)</f>
        <v>0</v>
      </c>
      <c r="J219" s="250">
        <v>0</v>
      </c>
      <c r="K219" s="47">
        <f ca="1">IF(I219&gt;0,J219*100/I219,0)</f>
        <v>0</v>
      </c>
      <c r="L219" s="46"/>
      <c r="M219" s="46"/>
      <c r="N219" s="46"/>
      <c r="O219" s="46"/>
      <c r="P219" s="46"/>
    </row>
    <row r="220" spans="1:16" ht="18.75" hidden="1" x14ac:dyDescent="0.25">
      <c r="A220" s="148"/>
      <c r="B220" s="149"/>
      <c r="C220" s="149"/>
      <c r="D220" s="154" t="s">
        <v>91</v>
      </c>
      <c r="E220" s="155"/>
      <c r="F220" s="155"/>
      <c r="G220" s="153"/>
      <c r="H220" s="249" t="s">
        <v>79</v>
      </c>
      <c r="I220" s="169">
        <f ca="1">IFERROR(__xludf.DUMMYFUNCTION("IMPORTRANGE(""https://docs.google.com/spreadsheets/d/1eHaY18a8A9IcSdp1K8H6x8fbOy06t2VsZHhMHf-1x7Y/edit?usp=sharing"",""แผน!AP28"")"),0)</f>
        <v>0</v>
      </c>
      <c r="J220" s="250">
        <v>0</v>
      </c>
      <c r="K220" s="47">
        <f ca="1">IF(I220&gt;0,J220*100/I220,0)</f>
        <v>0</v>
      </c>
      <c r="L220" s="46"/>
      <c r="M220" s="46"/>
      <c r="N220" s="46"/>
      <c r="O220" s="46"/>
      <c r="P220" s="46"/>
    </row>
    <row r="221" spans="1:16" ht="19.5" x14ac:dyDescent="0.3">
      <c r="A221" s="233"/>
      <c r="B221" s="234"/>
      <c r="C221" s="235" t="s">
        <v>92</v>
      </c>
      <c r="D221" s="236"/>
      <c r="E221" s="236"/>
      <c r="F221" s="236"/>
      <c r="G221" s="237"/>
      <c r="H221" s="238" t="s">
        <v>93</v>
      </c>
      <c r="I221" s="239">
        <f ca="1">I229</f>
        <v>50000</v>
      </c>
      <c r="J221" s="239">
        <f>J229</f>
        <v>0</v>
      </c>
      <c r="K221" s="240">
        <f ca="1">IF(I221&gt;0,J221*100/I221,0)</f>
        <v>0</v>
      </c>
      <c r="L221" s="241"/>
      <c r="M221" s="241"/>
      <c r="N221" s="241"/>
      <c r="O221" s="241"/>
      <c r="P221" s="241"/>
    </row>
    <row r="222" spans="1:16" ht="19.5" x14ac:dyDescent="0.3">
      <c r="A222" s="136"/>
      <c r="B222" s="41"/>
      <c r="C222" s="197" t="s">
        <v>16</v>
      </c>
      <c r="D222" s="400" t="s">
        <v>17</v>
      </c>
      <c r="E222" s="41"/>
      <c r="F222" s="41"/>
      <c r="G222" s="43"/>
      <c r="H222" s="243" t="s">
        <v>12</v>
      </c>
      <c r="I222" s="144"/>
      <c r="J222" s="144"/>
      <c r="K222" s="145"/>
      <c r="L222" s="140">
        <f ca="1">L223+L224+L225</f>
        <v>8500</v>
      </c>
      <c r="M222" s="46"/>
      <c r="N222" s="140">
        <f>N223+N224+N225</f>
        <v>0</v>
      </c>
      <c r="O222" s="140">
        <f ca="1">IF(L222&gt;0,N222*100/L222,0)</f>
        <v>0</v>
      </c>
      <c r="P222" s="140">
        <f>IF(M222&gt;0,N222*100/M222,0)</f>
        <v>0</v>
      </c>
    </row>
    <row r="223" spans="1:16" ht="18.75" x14ac:dyDescent="0.25">
      <c r="A223" s="136"/>
      <c r="B223" s="228"/>
      <c r="C223" s="41"/>
      <c r="D223" s="253" t="s">
        <v>94</v>
      </c>
      <c r="E223" s="41"/>
      <c r="F223" s="41"/>
      <c r="G223" s="43"/>
      <c r="H223" s="143" t="s">
        <v>12</v>
      </c>
      <c r="I223" s="144"/>
      <c r="J223" s="144"/>
      <c r="K223" s="145"/>
      <c r="L223" s="47">
        <f ca="1">IFERROR(__xludf.DUMMYFUNCTION("IMPORTRANGE(""https://docs.google.com/spreadsheets/d/1eHaY18a8A9IcSdp1K8H6x8fbOy06t2VsZHhMHf-1x7Y/edit?usp=sharing"",""แผน!AR28"")"),7000)</f>
        <v>7000</v>
      </c>
      <c r="M223" s="46"/>
      <c r="N223" s="248">
        <v>0</v>
      </c>
      <c r="O223" s="145"/>
      <c r="P223" s="46"/>
    </row>
    <row r="224" spans="1:16" ht="18.75" x14ac:dyDescent="0.25">
      <c r="A224" s="227"/>
      <c r="B224" s="228"/>
      <c r="C224" s="228"/>
      <c r="D224" s="254" t="s">
        <v>95</v>
      </c>
      <c r="E224" s="41"/>
      <c r="F224" s="41"/>
      <c r="G224" s="43"/>
      <c r="H224" s="143" t="s">
        <v>12</v>
      </c>
      <c r="I224" s="45"/>
      <c r="J224" s="45"/>
      <c r="K224" s="46"/>
      <c r="L224" s="47">
        <f ca="1">IFERROR(__xludf.DUMMYFUNCTION("IMPORTRANGE(""https://docs.google.com/spreadsheets/d/1eHaY18a8A9IcSdp1K8H6x8fbOy06t2VsZHhMHf-1x7Y/edit?usp=sharing"",""แผน!AS28"")"),1500)</f>
        <v>1500</v>
      </c>
      <c r="M224" s="46"/>
      <c r="N224" s="248">
        <v>0</v>
      </c>
      <c r="O224" s="145"/>
      <c r="P224" s="46"/>
    </row>
    <row r="225" spans="1:16" ht="18.75" x14ac:dyDescent="0.25">
      <c r="A225" s="227"/>
      <c r="B225" s="228"/>
      <c r="C225" s="228"/>
      <c r="D225" s="254" t="s">
        <v>82</v>
      </c>
      <c r="E225" s="41"/>
      <c r="F225" s="41"/>
      <c r="G225" s="43"/>
      <c r="H225" s="143" t="s">
        <v>12</v>
      </c>
      <c r="I225" s="45"/>
      <c r="J225" s="45"/>
      <c r="K225" s="46"/>
      <c r="L225" s="47">
        <f ca="1">IFERROR(__xludf.DUMMYFUNCTION("IMPORTRANGE(""https://docs.google.com/spreadsheets/d/1eHaY18a8A9IcSdp1K8H6x8fbOy06t2VsZHhMHf-1x7Y/edit?usp=sharing"",""แผน!AT28"")"),0)</f>
        <v>0</v>
      </c>
      <c r="M225" s="46"/>
      <c r="N225" s="248">
        <v>0</v>
      </c>
      <c r="O225" s="145"/>
      <c r="P225" s="46"/>
    </row>
    <row r="226" spans="1:16" ht="19.5" x14ac:dyDescent="0.3">
      <c r="A226" s="148"/>
      <c r="B226" s="149"/>
      <c r="C226" s="252" t="s">
        <v>16</v>
      </c>
      <c r="D226" s="395" t="s">
        <v>36</v>
      </c>
      <c r="E226" s="151"/>
      <c r="F226" s="151"/>
      <c r="G226" s="152"/>
      <c r="H226" s="153"/>
      <c r="I226" s="144"/>
      <c r="J226" s="144"/>
      <c r="K226" s="145"/>
      <c r="L226" s="145"/>
      <c r="M226" s="145"/>
      <c r="N226" s="145"/>
      <c r="O226" s="145"/>
      <c r="P226" s="145"/>
    </row>
    <row r="227" spans="1:16" ht="18.75" x14ac:dyDescent="0.25">
      <c r="A227" s="148"/>
      <c r="B227" s="149"/>
      <c r="C227" s="149"/>
      <c r="D227" s="254" t="s">
        <v>96</v>
      </c>
      <c r="E227" s="155"/>
      <c r="F227" s="155"/>
      <c r="G227" s="153"/>
      <c r="H227" s="153"/>
      <c r="I227" s="45"/>
      <c r="J227" s="45"/>
      <c r="K227" s="145"/>
      <c r="L227" s="145"/>
      <c r="M227" s="145"/>
      <c r="N227" s="145"/>
      <c r="O227" s="145"/>
      <c r="P227" s="145"/>
    </row>
    <row r="228" spans="1:16" ht="18.75" x14ac:dyDescent="0.25">
      <c r="A228" s="148"/>
      <c r="B228" s="149"/>
      <c r="C228" s="149"/>
      <c r="D228" s="149"/>
      <c r="E228" s="154" t="s">
        <v>97</v>
      </c>
      <c r="F228" s="155"/>
      <c r="G228" s="153"/>
      <c r="H228" s="251" t="s">
        <v>93</v>
      </c>
      <c r="I228" s="169">
        <f ca="1">IFERROR(__xludf.DUMMYFUNCTION("IMPORTRANGE(""https://docs.google.com/spreadsheets/d/1eHaY18a8A9IcSdp1K8H6x8fbOy06t2VsZHhMHf-1x7Y/edit?usp=sharing"",""แผน!AV28"")"),50000)</f>
        <v>50000</v>
      </c>
      <c r="J228" s="250">
        <v>0</v>
      </c>
      <c r="K228" s="163">
        <f ca="1">IF(I228&gt;0,J228*100/I228,0)</f>
        <v>0</v>
      </c>
      <c r="L228" s="145"/>
      <c r="M228" s="145"/>
      <c r="N228" s="145"/>
      <c r="O228" s="145"/>
      <c r="P228" s="145"/>
    </row>
    <row r="229" spans="1:16" ht="18.75" x14ac:dyDescent="0.25">
      <c r="A229" s="148"/>
      <c r="B229" s="149"/>
      <c r="C229" s="149"/>
      <c r="D229" s="149"/>
      <c r="E229" s="154" t="s">
        <v>98</v>
      </c>
      <c r="F229" s="155"/>
      <c r="G229" s="153"/>
      <c r="H229" s="251" t="s">
        <v>93</v>
      </c>
      <c r="I229" s="169">
        <f ca="1">IFERROR(__xludf.DUMMYFUNCTION("IMPORTRANGE(""https://docs.google.com/spreadsheets/d/1eHaY18a8A9IcSdp1K8H6x8fbOy06t2VsZHhMHf-1x7Y/edit?usp=sharing"",""แผน!AV28"")"),50000)</f>
        <v>50000</v>
      </c>
      <c r="J229" s="250">
        <v>0</v>
      </c>
      <c r="K229" s="163">
        <f ca="1">IF(I229&gt;0,J229*100/I229,0)</f>
        <v>0</v>
      </c>
      <c r="L229" s="46"/>
      <c r="M229" s="46"/>
      <c r="N229" s="46"/>
      <c r="O229" s="46"/>
      <c r="P229" s="46"/>
    </row>
    <row r="230" spans="1:16" ht="18.75" x14ac:dyDescent="0.25">
      <c r="A230" s="148"/>
      <c r="B230" s="149"/>
      <c r="C230" s="149"/>
      <c r="D230" s="254" t="s">
        <v>99</v>
      </c>
      <c r="E230" s="155"/>
      <c r="F230" s="155"/>
      <c r="G230" s="153"/>
      <c r="H230" s="251" t="s">
        <v>33</v>
      </c>
      <c r="I230" s="169">
        <f ca="1">IFERROR(__xludf.DUMMYFUNCTION("IMPORTRANGE(""https://docs.google.com/spreadsheets/d/1eHaY18a8A9IcSdp1K8H6x8fbOy06t2VsZHhMHf-1x7Y/edit?usp=sharing"",""แผน!AU28"")"),0)</f>
        <v>0</v>
      </c>
      <c r="J230" s="250">
        <v>0</v>
      </c>
      <c r="K230" s="163">
        <f ca="1">IF(I230&gt;0,J230*100/I230,0)</f>
        <v>0</v>
      </c>
      <c r="L230" s="46"/>
      <c r="M230" s="46"/>
      <c r="N230" s="46"/>
      <c r="O230" s="46"/>
      <c r="P230" s="46"/>
    </row>
    <row r="231" spans="1:16" ht="19.5" hidden="1" x14ac:dyDescent="0.3">
      <c r="A231" s="233"/>
      <c r="B231" s="234"/>
      <c r="C231" s="235" t="s">
        <v>100</v>
      </c>
      <c r="D231" s="236"/>
      <c r="E231" s="236"/>
      <c r="F231" s="236"/>
      <c r="G231" s="237"/>
      <c r="H231" s="238" t="s">
        <v>33</v>
      </c>
      <c r="I231" s="239">
        <f ca="1">I242+I253</f>
        <v>0</v>
      </c>
      <c r="J231" s="239">
        <f>J242+J253</f>
        <v>0</v>
      </c>
      <c r="K231" s="240">
        <f ca="1">IF(I231&gt;0,J231*100/I231,0)</f>
        <v>0</v>
      </c>
      <c r="L231" s="241"/>
      <c r="M231" s="241"/>
      <c r="N231" s="241"/>
      <c r="O231" s="241"/>
      <c r="P231" s="241"/>
    </row>
    <row r="232" spans="1:16" ht="19.5" hidden="1" x14ac:dyDescent="0.3">
      <c r="A232" s="136"/>
      <c r="B232" s="41"/>
      <c r="C232" s="197" t="s">
        <v>16</v>
      </c>
      <c r="D232" s="397" t="s">
        <v>17</v>
      </c>
      <c r="E232" s="41"/>
      <c r="F232" s="41"/>
      <c r="G232" s="43"/>
      <c r="H232" s="243" t="s">
        <v>12</v>
      </c>
      <c r="I232" s="144"/>
      <c r="J232" s="144"/>
      <c r="K232" s="145"/>
      <c r="L232" s="140">
        <f ca="1">L243+L254</f>
        <v>0</v>
      </c>
      <c r="M232" s="46"/>
      <c r="N232" s="140">
        <f>N243+N254</f>
        <v>0</v>
      </c>
      <c r="O232" s="46"/>
      <c r="P232" s="46"/>
    </row>
    <row r="233" spans="1:16" ht="18.75" hidden="1" x14ac:dyDescent="0.25">
      <c r="A233" s="136"/>
      <c r="B233" s="228"/>
      <c r="C233" s="41"/>
      <c r="D233" s="254" t="s">
        <v>80</v>
      </c>
      <c r="E233" s="41"/>
      <c r="F233" s="41"/>
      <c r="G233" s="43"/>
      <c r="H233" s="143" t="s">
        <v>12</v>
      </c>
      <c r="I233" s="144"/>
      <c r="J233" s="144"/>
      <c r="K233" s="145"/>
      <c r="L233" s="47">
        <f ca="1">L244+L255</f>
        <v>0</v>
      </c>
      <c r="M233" s="46"/>
      <c r="N233" s="47">
        <f>N244+N255</f>
        <v>0</v>
      </c>
      <c r="O233" s="46"/>
      <c r="P233" s="46"/>
    </row>
    <row r="234" spans="1:16" ht="18.75" hidden="1" x14ac:dyDescent="0.25">
      <c r="A234" s="227"/>
      <c r="B234" s="228"/>
      <c r="C234" s="228"/>
      <c r="D234" s="254" t="s">
        <v>82</v>
      </c>
      <c r="E234" s="41"/>
      <c r="F234" s="41"/>
      <c r="G234" s="43"/>
      <c r="H234" s="143" t="s">
        <v>12</v>
      </c>
      <c r="I234" s="45"/>
      <c r="J234" s="45"/>
      <c r="K234" s="46"/>
      <c r="L234" s="47">
        <f ca="1">L245+L256</f>
        <v>0</v>
      </c>
      <c r="M234" s="46"/>
      <c r="N234" s="47">
        <f>N245+N256</f>
        <v>0</v>
      </c>
      <c r="O234" s="46"/>
      <c r="P234" s="46"/>
    </row>
    <row r="235" spans="1:16" ht="18.75" hidden="1" x14ac:dyDescent="0.25">
      <c r="A235" s="227"/>
      <c r="B235" s="228"/>
      <c r="C235" s="228"/>
      <c r="D235" s="254" t="s">
        <v>101</v>
      </c>
      <c r="E235" s="41"/>
      <c r="F235" s="41"/>
      <c r="G235" s="43"/>
      <c r="H235" s="143" t="s">
        <v>12</v>
      </c>
      <c r="I235" s="45"/>
      <c r="J235" s="45"/>
      <c r="K235" s="46"/>
      <c r="L235" s="47">
        <f ca="1">L246+L257</f>
        <v>0</v>
      </c>
      <c r="M235" s="46"/>
      <c r="N235" s="47">
        <f>N246+N257</f>
        <v>0</v>
      </c>
      <c r="O235" s="46"/>
      <c r="P235" s="46"/>
    </row>
    <row r="236" spans="1:16" ht="18.75" hidden="1" x14ac:dyDescent="0.25">
      <c r="A236" s="227"/>
      <c r="B236" s="228"/>
      <c r="C236" s="228"/>
      <c r="D236" s="254" t="s">
        <v>102</v>
      </c>
      <c r="E236" s="41"/>
      <c r="F236" s="41"/>
      <c r="G236" s="43"/>
      <c r="H236" s="143" t="s">
        <v>12</v>
      </c>
      <c r="I236" s="45"/>
      <c r="J236" s="45"/>
      <c r="K236" s="46"/>
      <c r="L236" s="47">
        <f ca="1">L247+L258</f>
        <v>0</v>
      </c>
      <c r="M236" s="46"/>
      <c r="N236" s="47">
        <f>N247+N258</f>
        <v>0</v>
      </c>
      <c r="O236" s="46"/>
      <c r="P236" s="46"/>
    </row>
    <row r="237" spans="1:16" ht="19.5" hidden="1" x14ac:dyDescent="0.3">
      <c r="A237" s="148"/>
      <c r="B237" s="149"/>
      <c r="C237" s="252" t="s">
        <v>16</v>
      </c>
      <c r="D237" s="395" t="s">
        <v>36</v>
      </c>
      <c r="E237" s="151"/>
      <c r="F237" s="151"/>
      <c r="G237" s="152"/>
      <c r="H237" s="153"/>
      <c r="I237" s="144"/>
      <c r="J237" s="45"/>
      <c r="K237" s="46"/>
      <c r="L237" s="46"/>
      <c r="M237" s="46"/>
      <c r="N237" s="46"/>
      <c r="O237" s="145"/>
      <c r="P237" s="145"/>
    </row>
    <row r="238" spans="1:16" ht="18.75" hidden="1" x14ac:dyDescent="0.25">
      <c r="A238" s="148"/>
      <c r="B238" s="149"/>
      <c r="C238" s="149"/>
      <c r="D238" s="159" t="s">
        <v>103</v>
      </c>
      <c r="E238" s="155"/>
      <c r="F238" s="155"/>
      <c r="G238" s="153"/>
      <c r="H238" s="251" t="s">
        <v>33</v>
      </c>
      <c r="I238" s="169">
        <f ca="1">I249+I260</f>
        <v>0</v>
      </c>
      <c r="J238" s="169">
        <f>J249+J260</f>
        <v>0</v>
      </c>
      <c r="K238" s="47">
        <f ca="1">IF(I238&gt;0,J238*100/I238,0)</f>
        <v>0</v>
      </c>
      <c r="L238" s="46"/>
      <c r="M238" s="46"/>
      <c r="N238" s="46"/>
      <c r="O238" s="46"/>
      <c r="P238" s="46"/>
    </row>
    <row r="239" spans="1:16" ht="18.75" hidden="1" x14ac:dyDescent="0.25">
      <c r="A239" s="148"/>
      <c r="B239" s="149"/>
      <c r="C239" s="149"/>
      <c r="D239" s="255" t="s">
        <v>41</v>
      </c>
      <c r="E239" s="155"/>
      <c r="F239" s="155"/>
      <c r="G239" s="153"/>
      <c r="H239" s="153"/>
      <c r="I239" s="45"/>
      <c r="J239" s="45"/>
      <c r="K239" s="46"/>
      <c r="L239" s="46"/>
      <c r="M239" s="46"/>
      <c r="N239" s="46"/>
      <c r="O239" s="145"/>
      <c r="P239" s="145"/>
    </row>
    <row r="240" spans="1:16" ht="18.75" hidden="1" x14ac:dyDescent="0.25">
      <c r="A240" s="148"/>
      <c r="B240" s="149"/>
      <c r="C240" s="149"/>
      <c r="D240" s="149"/>
      <c r="E240" s="154" t="s">
        <v>104</v>
      </c>
      <c r="F240" s="155"/>
      <c r="G240" s="153"/>
      <c r="H240" s="251" t="s">
        <v>33</v>
      </c>
      <c r="I240" s="169">
        <f>I251+I262</f>
        <v>0</v>
      </c>
      <c r="J240" s="169">
        <f>J251+J262</f>
        <v>0</v>
      </c>
      <c r="K240" s="47">
        <f>IF(I240&gt;0,J240*100/I240,0)</f>
        <v>0</v>
      </c>
      <c r="L240" s="46"/>
      <c r="M240" s="46"/>
      <c r="N240" s="46"/>
      <c r="O240" s="46"/>
      <c r="P240" s="46"/>
    </row>
    <row r="241" spans="1:16" ht="18.75" hidden="1" x14ac:dyDescent="0.25">
      <c r="A241" s="148"/>
      <c r="B241" s="149"/>
      <c r="C241" s="149"/>
      <c r="D241" s="149"/>
      <c r="E241" s="154" t="s">
        <v>105</v>
      </c>
      <c r="F241" s="155"/>
      <c r="G241" s="153"/>
      <c r="H241" s="251" t="s">
        <v>54</v>
      </c>
      <c r="I241" s="169">
        <f>I252+I263</f>
        <v>0</v>
      </c>
      <c r="J241" s="169">
        <f>J252+J263</f>
        <v>0</v>
      </c>
      <c r="K241" s="47">
        <f>IF(I241&gt;0,J241*100/I241,0)</f>
        <v>0</v>
      </c>
      <c r="L241" s="46"/>
      <c r="M241" s="46"/>
      <c r="N241" s="46"/>
      <c r="O241" s="46"/>
      <c r="P241" s="46"/>
    </row>
    <row r="242" spans="1:16" ht="19.5" hidden="1" x14ac:dyDescent="0.3">
      <c r="A242" s="233"/>
      <c r="B242" s="234"/>
      <c r="C242" s="256" t="s">
        <v>106</v>
      </c>
      <c r="D242" s="236"/>
      <c r="E242" s="236"/>
      <c r="F242" s="236"/>
      <c r="G242" s="237"/>
      <c r="H242" s="257" t="s">
        <v>33</v>
      </c>
      <c r="I242" s="258">
        <f ca="1">I249</f>
        <v>0</v>
      </c>
      <c r="J242" s="258">
        <f>J249</f>
        <v>0</v>
      </c>
      <c r="K242" s="259">
        <f ca="1">IF(I242&gt;0,J242*100/I242,0)</f>
        <v>0</v>
      </c>
      <c r="L242" s="241"/>
      <c r="M242" s="241"/>
      <c r="N242" s="241"/>
      <c r="O242" s="241"/>
      <c r="P242" s="241"/>
    </row>
    <row r="243" spans="1:16" ht="19.5" hidden="1" x14ac:dyDescent="0.3">
      <c r="A243" s="136"/>
      <c r="B243" s="41"/>
      <c r="C243" s="260" t="s">
        <v>16</v>
      </c>
      <c r="D243" s="261" t="s">
        <v>17</v>
      </c>
      <c r="E243" s="41"/>
      <c r="F243" s="41"/>
      <c r="G243" s="43"/>
      <c r="H243" s="262" t="s">
        <v>12</v>
      </c>
      <c r="I243" s="144"/>
      <c r="J243" s="144"/>
      <c r="K243" s="145"/>
      <c r="L243" s="263">
        <f ca="1">L244+L245+L246+L247</f>
        <v>0</v>
      </c>
      <c r="M243" s="46"/>
      <c r="N243" s="263">
        <f>N244+N245+N246+N247</f>
        <v>0</v>
      </c>
      <c r="O243" s="263">
        <f ca="1">IF(L243&gt;0,N243*100/L243,0)</f>
        <v>0</v>
      </c>
      <c r="P243" s="263">
        <f>IF(M243&gt;0,N243*100/M243,0)</f>
        <v>0</v>
      </c>
    </row>
    <row r="244" spans="1:16" ht="18.75" hidden="1" x14ac:dyDescent="0.25">
      <c r="A244" s="136"/>
      <c r="B244" s="228"/>
      <c r="C244" s="41"/>
      <c r="D244" s="279" t="s">
        <v>80</v>
      </c>
      <c r="E244" s="41"/>
      <c r="F244" s="41"/>
      <c r="G244" s="43"/>
      <c r="H244" s="146" t="s">
        <v>12</v>
      </c>
      <c r="I244" s="144"/>
      <c r="J244" s="144"/>
      <c r="K244" s="145"/>
      <c r="L244" s="50">
        <f ca="1">IFERROR(__xludf.DUMMYFUNCTION("IMPORTRANGE(""https://docs.google.com/spreadsheets/d/1eHaY18a8A9IcSdp1K8H6x8fbOy06t2VsZHhMHf-1x7Y/edit?usp=sharing"",""แผน!AX28"")"),0)</f>
        <v>0</v>
      </c>
      <c r="M244" s="46"/>
      <c r="N244" s="264">
        <v>0</v>
      </c>
      <c r="O244" s="46"/>
      <c r="P244" s="46"/>
    </row>
    <row r="245" spans="1:16" ht="18.75" hidden="1" x14ac:dyDescent="0.25">
      <c r="A245" s="227"/>
      <c r="B245" s="228"/>
      <c r="C245" s="228"/>
      <c r="D245" s="279" t="s">
        <v>82</v>
      </c>
      <c r="E245" s="41"/>
      <c r="F245" s="41"/>
      <c r="G245" s="43"/>
      <c r="H245" s="146" t="s">
        <v>12</v>
      </c>
      <c r="I245" s="45"/>
      <c r="J245" s="45"/>
      <c r="K245" s="46"/>
      <c r="L245" s="50">
        <f ca="1">IFERROR(__xludf.DUMMYFUNCTION("IMPORTRANGE(""https://docs.google.com/spreadsheets/d/1eHaY18a8A9IcSdp1K8H6x8fbOy06t2VsZHhMHf-1x7Y/edit?usp=sharing"",""แผน!AY28"")"),0)</f>
        <v>0</v>
      </c>
      <c r="M245" s="46"/>
      <c r="N245" s="264">
        <v>0</v>
      </c>
      <c r="O245" s="46"/>
      <c r="P245" s="46"/>
    </row>
    <row r="246" spans="1:16" ht="18.75" hidden="1" x14ac:dyDescent="0.25">
      <c r="A246" s="227"/>
      <c r="B246" s="228"/>
      <c r="C246" s="228"/>
      <c r="D246" s="279" t="s">
        <v>101</v>
      </c>
      <c r="E246" s="41"/>
      <c r="F246" s="41"/>
      <c r="G246" s="43"/>
      <c r="H246" s="146" t="s">
        <v>12</v>
      </c>
      <c r="I246" s="45"/>
      <c r="J246" s="45"/>
      <c r="K246" s="46"/>
      <c r="L246" s="50">
        <f ca="1">IFERROR(__xludf.DUMMYFUNCTION("IMPORTRANGE(""https://docs.google.com/spreadsheets/d/1eHaY18a8A9IcSdp1K8H6x8fbOy06t2VsZHhMHf-1x7Y/edit?usp=sharing"",""แผน!AZ28"")"),0)</f>
        <v>0</v>
      </c>
      <c r="M246" s="46"/>
      <c r="N246" s="264">
        <v>0</v>
      </c>
      <c r="O246" s="46"/>
      <c r="P246" s="46"/>
    </row>
    <row r="247" spans="1:16" ht="18.75" hidden="1" x14ac:dyDescent="0.25">
      <c r="A247" s="227"/>
      <c r="B247" s="228"/>
      <c r="C247" s="228"/>
      <c r="D247" s="279" t="s">
        <v>102</v>
      </c>
      <c r="E247" s="41"/>
      <c r="F247" s="41"/>
      <c r="G247" s="43"/>
      <c r="H247" s="146" t="s">
        <v>12</v>
      </c>
      <c r="I247" s="45"/>
      <c r="J247" s="45"/>
      <c r="K247" s="46"/>
      <c r="L247" s="50">
        <f ca="1">IFERROR(__xludf.DUMMYFUNCTION("IMPORTRANGE(""https://docs.google.com/spreadsheets/d/1eHaY18a8A9IcSdp1K8H6x8fbOy06t2VsZHhMHf-1x7Y/edit?usp=sharing"",""แผน!BA28"")"),0)</f>
        <v>0</v>
      </c>
      <c r="M247" s="46"/>
      <c r="N247" s="264">
        <v>0</v>
      </c>
      <c r="O247" s="46"/>
      <c r="P247" s="46"/>
    </row>
    <row r="248" spans="1:16" ht="19.5" hidden="1" x14ac:dyDescent="0.3">
      <c r="A248" s="148"/>
      <c r="B248" s="149"/>
      <c r="C248" s="265" t="s">
        <v>16</v>
      </c>
      <c r="D248" s="394" t="s">
        <v>36</v>
      </c>
      <c r="E248" s="151"/>
      <c r="F248" s="151"/>
      <c r="G248" s="152"/>
      <c r="H248" s="153"/>
      <c r="I248" s="144"/>
      <c r="J248" s="45"/>
      <c r="K248" s="46"/>
      <c r="L248" s="46"/>
      <c r="M248" s="46"/>
      <c r="N248" s="46"/>
      <c r="O248" s="145"/>
      <c r="P248" s="145"/>
    </row>
    <row r="249" spans="1:16" ht="18.75" hidden="1" x14ac:dyDescent="0.25">
      <c r="A249" s="148"/>
      <c r="B249" s="149"/>
      <c r="C249" s="149"/>
      <c r="D249" s="267" t="s">
        <v>103</v>
      </c>
      <c r="E249" s="155"/>
      <c r="F249" s="155"/>
      <c r="G249" s="153"/>
      <c r="H249" s="268" t="s">
        <v>33</v>
      </c>
      <c r="I249" s="200">
        <f ca="1">IFERROR(__xludf.DUMMYFUNCTION("IMPORTRANGE(""https://docs.google.com/spreadsheets/d/1eHaY18a8A9IcSdp1K8H6x8fbOy06t2VsZHhMHf-1x7Y/edit?usp=sharing"",""แผน!BG28"")"),0)</f>
        <v>0</v>
      </c>
      <c r="J249" s="201">
        <v>0</v>
      </c>
      <c r="K249" s="50">
        <f ca="1">IF(I249&gt;0,J249*100/I249,0)</f>
        <v>0</v>
      </c>
      <c r="L249" s="46"/>
      <c r="M249" s="46"/>
      <c r="N249" s="46"/>
      <c r="O249" s="46"/>
      <c r="P249" s="46"/>
    </row>
    <row r="250" spans="1:16" ht="18.75" hidden="1" x14ac:dyDescent="0.25">
      <c r="A250" s="148"/>
      <c r="B250" s="149"/>
      <c r="C250" s="149"/>
      <c r="D250" s="269" t="s">
        <v>41</v>
      </c>
      <c r="E250" s="155"/>
      <c r="F250" s="155"/>
      <c r="G250" s="153"/>
      <c r="H250" s="153"/>
      <c r="I250" s="45"/>
      <c r="J250" s="45"/>
      <c r="K250" s="46"/>
      <c r="L250" s="46"/>
      <c r="M250" s="46"/>
      <c r="N250" s="46"/>
      <c r="O250" s="145"/>
      <c r="P250" s="145"/>
    </row>
    <row r="251" spans="1:16" ht="18.75" hidden="1" x14ac:dyDescent="0.25">
      <c r="A251" s="148"/>
      <c r="B251" s="149"/>
      <c r="C251" s="149"/>
      <c r="D251" s="149"/>
      <c r="E251" s="270" t="s">
        <v>104</v>
      </c>
      <c r="F251" s="155"/>
      <c r="G251" s="153"/>
      <c r="H251" s="268" t="s">
        <v>33</v>
      </c>
      <c r="I251" s="200">
        <v>0</v>
      </c>
      <c r="J251" s="201">
        <v>0</v>
      </c>
      <c r="K251" s="50">
        <f>IF(I251&gt;0,J251*100/I251,0)</f>
        <v>0</v>
      </c>
      <c r="L251" s="46"/>
      <c r="M251" s="46"/>
      <c r="N251" s="46"/>
      <c r="O251" s="46"/>
      <c r="P251" s="46"/>
    </row>
    <row r="252" spans="1:16" ht="18.75" hidden="1" x14ac:dyDescent="0.25">
      <c r="A252" s="148"/>
      <c r="B252" s="149"/>
      <c r="C252" s="149"/>
      <c r="D252" s="149"/>
      <c r="E252" s="270" t="s">
        <v>105</v>
      </c>
      <c r="F252" s="155"/>
      <c r="G252" s="153"/>
      <c r="H252" s="268" t="s">
        <v>54</v>
      </c>
      <c r="I252" s="200">
        <v>0</v>
      </c>
      <c r="J252" s="201">
        <v>0</v>
      </c>
      <c r="K252" s="50">
        <f>IF(I252&gt;0,J252*100/I252,0)</f>
        <v>0</v>
      </c>
      <c r="L252" s="46"/>
      <c r="M252" s="46"/>
      <c r="N252" s="46"/>
      <c r="O252" s="46"/>
      <c r="P252" s="46"/>
    </row>
    <row r="253" spans="1:16" ht="19.5" hidden="1" x14ac:dyDescent="0.3">
      <c r="A253" s="233"/>
      <c r="B253" s="234"/>
      <c r="C253" s="256" t="s">
        <v>107</v>
      </c>
      <c r="D253" s="236"/>
      <c r="E253" s="236"/>
      <c r="F253" s="236"/>
      <c r="G253" s="237"/>
      <c r="H253" s="257" t="s">
        <v>33</v>
      </c>
      <c r="I253" s="258">
        <f ca="1">I260</f>
        <v>0</v>
      </c>
      <c r="J253" s="258">
        <f>J260</f>
        <v>0</v>
      </c>
      <c r="K253" s="259">
        <f ca="1">IF(I253&gt;0,J253*100/I253,0)</f>
        <v>0</v>
      </c>
      <c r="L253" s="241"/>
      <c r="M253" s="241"/>
      <c r="N253" s="241"/>
      <c r="O253" s="241"/>
      <c r="P253" s="241"/>
    </row>
    <row r="254" spans="1:16" ht="19.5" hidden="1" x14ac:dyDescent="0.3">
      <c r="A254" s="136"/>
      <c r="B254" s="41"/>
      <c r="C254" s="260" t="s">
        <v>16</v>
      </c>
      <c r="D254" s="399" t="s">
        <v>17</v>
      </c>
      <c r="E254" s="41"/>
      <c r="F254" s="41"/>
      <c r="G254" s="43"/>
      <c r="H254" s="262" t="s">
        <v>12</v>
      </c>
      <c r="I254" s="144"/>
      <c r="J254" s="144"/>
      <c r="K254" s="145"/>
      <c r="L254" s="263">
        <f ca="1">L255+L256+L257+L258</f>
        <v>0</v>
      </c>
      <c r="M254" s="46"/>
      <c r="N254" s="263">
        <f>N255+N256+N257+N258</f>
        <v>0</v>
      </c>
      <c r="O254" s="263">
        <f ca="1">IF(L254&gt;0,N254*100/L254,0)</f>
        <v>0</v>
      </c>
      <c r="P254" s="263">
        <f>IF(M254&gt;0,N254*100/M254,0)</f>
        <v>0</v>
      </c>
    </row>
    <row r="255" spans="1:16" ht="18.75" hidden="1" x14ac:dyDescent="0.25">
      <c r="A255" s="136"/>
      <c r="B255" s="228"/>
      <c r="C255" s="41"/>
      <c r="D255" s="279" t="s">
        <v>80</v>
      </c>
      <c r="E255" s="41"/>
      <c r="F255" s="41"/>
      <c r="G255" s="43"/>
      <c r="H255" s="146" t="s">
        <v>12</v>
      </c>
      <c r="I255" s="144"/>
      <c r="J255" s="144"/>
      <c r="K255" s="145"/>
      <c r="L255" s="50">
        <f ca="1">IFERROR(__xludf.DUMMYFUNCTION("IMPORTRANGE(""https://docs.google.com/spreadsheets/d/1eHaY18a8A9IcSdp1K8H6x8fbOy06t2VsZHhMHf-1x7Y/edit?usp=sharing"",""แผน!BB28"")"),0)</f>
        <v>0</v>
      </c>
      <c r="M255" s="46"/>
      <c r="N255" s="264">
        <v>0</v>
      </c>
      <c r="O255" s="46"/>
      <c r="P255" s="46"/>
    </row>
    <row r="256" spans="1:16" ht="18.75" hidden="1" x14ac:dyDescent="0.25">
      <c r="A256" s="227"/>
      <c r="B256" s="228"/>
      <c r="C256" s="228"/>
      <c r="D256" s="279" t="s">
        <v>82</v>
      </c>
      <c r="E256" s="41"/>
      <c r="F256" s="41"/>
      <c r="G256" s="43"/>
      <c r="H256" s="146" t="s">
        <v>12</v>
      </c>
      <c r="I256" s="45"/>
      <c r="J256" s="45"/>
      <c r="K256" s="46"/>
      <c r="L256" s="50">
        <f ca="1">IFERROR(__xludf.DUMMYFUNCTION("IMPORTRANGE(""https://docs.google.com/spreadsheets/d/1eHaY18a8A9IcSdp1K8H6x8fbOy06t2VsZHhMHf-1x7Y/edit?usp=sharing"",""แผน!BC28"")"),0)</f>
        <v>0</v>
      </c>
      <c r="M256" s="46"/>
      <c r="N256" s="264">
        <v>0</v>
      </c>
      <c r="O256" s="46"/>
      <c r="P256" s="46"/>
    </row>
    <row r="257" spans="1:16" ht="18.75" hidden="1" x14ac:dyDescent="0.25">
      <c r="A257" s="227"/>
      <c r="B257" s="228"/>
      <c r="C257" s="228"/>
      <c r="D257" s="279" t="s">
        <v>101</v>
      </c>
      <c r="E257" s="41"/>
      <c r="F257" s="41"/>
      <c r="G257" s="43"/>
      <c r="H257" s="146" t="s">
        <v>12</v>
      </c>
      <c r="I257" s="45"/>
      <c r="J257" s="45"/>
      <c r="K257" s="46"/>
      <c r="L257" s="50">
        <f ca="1">IFERROR(__xludf.DUMMYFUNCTION("IMPORTRANGE(""https://docs.google.com/spreadsheets/d/1eHaY18a8A9IcSdp1K8H6x8fbOy06t2VsZHhMHf-1x7Y/edit?usp=sharing"",""แผน!BD28"")"),0)</f>
        <v>0</v>
      </c>
      <c r="M257" s="46"/>
      <c r="N257" s="264">
        <v>0</v>
      </c>
      <c r="O257" s="46"/>
      <c r="P257" s="46"/>
    </row>
    <row r="258" spans="1:16" ht="18.75" hidden="1" x14ac:dyDescent="0.25">
      <c r="A258" s="227"/>
      <c r="B258" s="228"/>
      <c r="C258" s="228"/>
      <c r="D258" s="279" t="s">
        <v>102</v>
      </c>
      <c r="E258" s="41"/>
      <c r="F258" s="41"/>
      <c r="G258" s="43"/>
      <c r="H258" s="146" t="s">
        <v>12</v>
      </c>
      <c r="I258" s="45"/>
      <c r="J258" s="45"/>
      <c r="K258" s="46"/>
      <c r="L258" s="50">
        <f ca="1">IFERROR(__xludf.DUMMYFUNCTION("IMPORTRANGE(""https://docs.google.com/spreadsheets/d/1eHaY18a8A9IcSdp1K8H6x8fbOy06t2VsZHhMHf-1x7Y/edit?usp=sharing"",""แผน!BE28"")"),0)</f>
        <v>0</v>
      </c>
      <c r="M258" s="46"/>
      <c r="N258" s="264">
        <v>0</v>
      </c>
      <c r="O258" s="46"/>
      <c r="P258" s="46"/>
    </row>
    <row r="259" spans="1:16" ht="19.5" hidden="1" x14ac:dyDescent="0.3">
      <c r="A259" s="148"/>
      <c r="B259" s="149"/>
      <c r="C259" s="265" t="s">
        <v>16</v>
      </c>
      <c r="D259" s="394" t="s">
        <v>36</v>
      </c>
      <c r="E259" s="151"/>
      <c r="F259" s="151"/>
      <c r="G259" s="152"/>
      <c r="H259" s="153"/>
      <c r="I259" s="144"/>
      <c r="J259" s="45"/>
      <c r="K259" s="46"/>
      <c r="L259" s="46"/>
      <c r="M259" s="46"/>
      <c r="N259" s="46"/>
      <c r="O259" s="145"/>
      <c r="P259" s="145"/>
    </row>
    <row r="260" spans="1:16" ht="18.75" hidden="1" x14ac:dyDescent="0.25">
      <c r="A260" s="148"/>
      <c r="B260" s="149"/>
      <c r="C260" s="149"/>
      <c r="D260" s="267" t="s">
        <v>103</v>
      </c>
      <c r="E260" s="155"/>
      <c r="F260" s="155"/>
      <c r="G260" s="153"/>
      <c r="H260" s="268" t="s">
        <v>33</v>
      </c>
      <c r="I260" s="200">
        <f ca="1">IFERROR(__xludf.DUMMYFUNCTION("IMPORTRANGE(""https://docs.google.com/spreadsheets/d/1eHaY18a8A9IcSdp1K8H6x8fbOy06t2VsZHhMHf-1x7Y/edit?usp=sharing"",""แผน!BH28"")"),0)</f>
        <v>0</v>
      </c>
      <c r="J260" s="201">
        <v>0</v>
      </c>
      <c r="K260" s="50">
        <f ca="1">IF(I260&gt;0,J260*100/I260,0)</f>
        <v>0</v>
      </c>
      <c r="L260" s="46"/>
      <c r="M260" s="46"/>
      <c r="N260" s="46"/>
      <c r="O260" s="46"/>
      <c r="P260" s="46"/>
    </row>
    <row r="261" spans="1:16" ht="18.75" hidden="1" x14ac:dyDescent="0.25">
      <c r="A261" s="148"/>
      <c r="B261" s="149"/>
      <c r="C261" s="149"/>
      <c r="D261" s="269" t="s">
        <v>41</v>
      </c>
      <c r="E261" s="155"/>
      <c r="F261" s="155"/>
      <c r="G261" s="153"/>
      <c r="H261" s="153"/>
      <c r="I261" s="45"/>
      <c r="J261" s="45"/>
      <c r="K261" s="46"/>
      <c r="L261" s="46"/>
      <c r="M261" s="46"/>
      <c r="N261" s="46"/>
      <c r="O261" s="145"/>
      <c r="P261" s="145"/>
    </row>
    <row r="262" spans="1:16" ht="18.75" hidden="1" x14ac:dyDescent="0.25">
      <c r="A262" s="148"/>
      <c r="B262" s="149"/>
      <c r="C262" s="149"/>
      <c r="D262" s="149"/>
      <c r="E262" s="270" t="s">
        <v>104</v>
      </c>
      <c r="F262" s="155"/>
      <c r="G262" s="153"/>
      <c r="H262" s="268" t="s">
        <v>33</v>
      </c>
      <c r="I262" s="45"/>
      <c r="J262" s="201">
        <v>0</v>
      </c>
      <c r="K262" s="50">
        <f>IF(I262&gt;0,J262*100/I262,0)</f>
        <v>0</v>
      </c>
      <c r="L262" s="46"/>
      <c r="M262" s="46"/>
      <c r="N262" s="46"/>
      <c r="O262" s="46"/>
      <c r="P262" s="46"/>
    </row>
    <row r="263" spans="1:16" ht="18.75" hidden="1" x14ac:dyDescent="0.25">
      <c r="A263" s="148"/>
      <c r="B263" s="149"/>
      <c r="C263" s="149"/>
      <c r="D263" s="149"/>
      <c r="E263" s="270" t="s">
        <v>105</v>
      </c>
      <c r="F263" s="155"/>
      <c r="G263" s="153"/>
      <c r="H263" s="268" t="s">
        <v>54</v>
      </c>
      <c r="I263" s="45"/>
      <c r="J263" s="201">
        <v>0</v>
      </c>
      <c r="K263" s="50">
        <f>IF(I263&gt;0,J263*100/I263,0)</f>
        <v>0</v>
      </c>
      <c r="L263" s="46"/>
      <c r="M263" s="46"/>
      <c r="N263" s="46"/>
      <c r="O263" s="46"/>
      <c r="P263" s="46"/>
    </row>
    <row r="264" spans="1:16" ht="19.5" hidden="1" x14ac:dyDescent="0.3">
      <c r="A264" s="272" t="s">
        <v>108</v>
      </c>
      <c r="B264" s="215"/>
      <c r="C264" s="215"/>
      <c r="D264" s="216"/>
      <c r="E264" s="216"/>
      <c r="F264" s="216"/>
      <c r="G264" s="217"/>
      <c r="H264" s="217"/>
      <c r="I264" s="218"/>
      <c r="J264" s="218"/>
      <c r="K264" s="219"/>
      <c r="L264" s="219"/>
      <c r="M264" s="219"/>
      <c r="N264" s="219"/>
      <c r="O264" s="219"/>
      <c r="P264" s="219"/>
    </row>
    <row r="265" spans="1:16" ht="19.5" hidden="1" x14ac:dyDescent="0.3">
      <c r="A265" s="220"/>
      <c r="B265" s="273" t="s">
        <v>109</v>
      </c>
      <c r="C265" s="222"/>
      <c r="D265" s="151"/>
      <c r="E265" s="151"/>
      <c r="F265" s="151"/>
      <c r="G265" s="152"/>
      <c r="H265" s="274" t="s">
        <v>33</v>
      </c>
      <c r="I265" s="275">
        <f>I276</f>
        <v>0</v>
      </c>
      <c r="J265" s="275">
        <f>J276</f>
        <v>0</v>
      </c>
      <c r="K265" s="276">
        <f>IF(I265&gt;0,J265*100/I265,0)</f>
        <v>0</v>
      </c>
      <c r="L265" s="226"/>
      <c r="M265" s="226"/>
      <c r="N265" s="226"/>
      <c r="O265" s="226"/>
      <c r="P265" s="226"/>
    </row>
    <row r="266" spans="1:16" ht="19.5" hidden="1" x14ac:dyDescent="0.3">
      <c r="A266" s="136"/>
      <c r="B266" s="41"/>
      <c r="C266" s="260" t="s">
        <v>16</v>
      </c>
      <c r="D266" s="261" t="s">
        <v>17</v>
      </c>
      <c r="E266" s="41"/>
      <c r="F266" s="41"/>
      <c r="G266" s="43"/>
      <c r="H266" s="277" t="s">
        <v>12</v>
      </c>
      <c r="I266" s="45"/>
      <c r="J266" s="45"/>
      <c r="K266" s="46"/>
      <c r="L266" s="263">
        <f ca="1">L267+L268</f>
        <v>0</v>
      </c>
      <c r="M266" s="263">
        <f ca="1">M267+M268</f>
        <v>0</v>
      </c>
      <c r="N266" s="263">
        <f ca="1">N267+N268</f>
        <v>0</v>
      </c>
      <c r="O266" s="263">
        <f ca="1">IF(L266&gt;0,N266*100/L266,0)</f>
        <v>0</v>
      </c>
      <c r="P266" s="263">
        <f ca="1">IF(M266&gt;0,N266*100/M266,0)</f>
        <v>0</v>
      </c>
    </row>
    <row r="267" spans="1:16" ht="18.75" hidden="1" x14ac:dyDescent="0.25">
      <c r="A267" s="136"/>
      <c r="B267" s="41"/>
      <c r="C267" s="41"/>
      <c r="D267" s="41"/>
      <c r="E267" s="279" t="s">
        <v>18</v>
      </c>
      <c r="F267" s="41"/>
      <c r="G267" s="43"/>
      <c r="H267" s="141" t="s">
        <v>12</v>
      </c>
      <c r="I267" s="45"/>
      <c r="J267" s="45"/>
      <c r="K267" s="46"/>
      <c r="L267" s="50">
        <f>L270+L273</f>
        <v>0</v>
      </c>
      <c r="M267" s="50">
        <f>M270+M273</f>
        <v>0</v>
      </c>
      <c r="N267" s="50">
        <f>N270+N273</f>
        <v>0</v>
      </c>
      <c r="O267" s="50">
        <f>IF(L267&gt;0,N267*100/L267,0)</f>
        <v>0</v>
      </c>
      <c r="P267" s="50">
        <f>IF(M267&gt;0,N267*100/M267,0)</f>
        <v>0</v>
      </c>
    </row>
    <row r="268" spans="1:16" ht="18.75" hidden="1" x14ac:dyDescent="0.25">
      <c r="A268" s="136"/>
      <c r="B268" s="41"/>
      <c r="C268" s="41"/>
      <c r="D268" s="41"/>
      <c r="E268" s="279" t="s">
        <v>19</v>
      </c>
      <c r="F268" s="41"/>
      <c r="G268" s="43"/>
      <c r="H268" s="141" t="s">
        <v>12</v>
      </c>
      <c r="I268" s="45"/>
      <c r="J268" s="45"/>
      <c r="K268" s="46"/>
      <c r="L268" s="50">
        <f ca="1">L271+L274</f>
        <v>0</v>
      </c>
      <c r="M268" s="50">
        <f ca="1">M271+M274</f>
        <v>0</v>
      </c>
      <c r="N268" s="50">
        <f ca="1">N271+N274</f>
        <v>0</v>
      </c>
      <c r="O268" s="50">
        <f ca="1">IF(L268&gt;0,N268*100/L268,0)</f>
        <v>0</v>
      </c>
      <c r="P268" s="50">
        <f ca="1">IF(M268&gt;0,N268*100/M268,0)</f>
        <v>0</v>
      </c>
    </row>
    <row r="269" spans="1:16" ht="18.75" hidden="1" x14ac:dyDescent="0.25">
      <c r="A269" s="136"/>
      <c r="B269" s="41"/>
      <c r="C269" s="41"/>
      <c r="D269" s="278" t="s">
        <v>20</v>
      </c>
      <c r="E269" s="41"/>
      <c r="F269" s="41"/>
      <c r="G269" s="43"/>
      <c r="H269" s="146" t="s">
        <v>12</v>
      </c>
      <c r="I269" s="144"/>
      <c r="J269" s="144"/>
      <c r="K269" s="145"/>
      <c r="L269" s="50">
        <f ca="1">L270+L271</f>
        <v>0</v>
      </c>
      <c r="M269" s="50">
        <f ca="1">M270+M271</f>
        <v>0</v>
      </c>
      <c r="N269" s="50">
        <f ca="1">N270+N271</f>
        <v>0</v>
      </c>
      <c r="O269" s="50">
        <f ca="1">IF(L269&gt;0,N269*100/L269,0)</f>
        <v>0</v>
      </c>
      <c r="P269" s="50">
        <f ca="1">IF(M269&gt;0,N269*100/M269,0)</f>
        <v>0</v>
      </c>
    </row>
    <row r="270" spans="1:16" ht="18.75" hidden="1" x14ac:dyDescent="0.25">
      <c r="A270" s="136"/>
      <c r="B270" s="41"/>
      <c r="C270" s="41"/>
      <c r="D270" s="41"/>
      <c r="E270" s="279" t="s">
        <v>34</v>
      </c>
      <c r="F270" s="41"/>
      <c r="G270" s="43"/>
      <c r="H270" s="146" t="s">
        <v>12</v>
      </c>
      <c r="I270" s="144"/>
      <c r="J270" s="144"/>
      <c r="K270" s="145"/>
      <c r="L270" s="50">
        <v>0</v>
      </c>
      <c r="M270" s="50">
        <v>0</v>
      </c>
      <c r="N270" s="50">
        <v>0</v>
      </c>
      <c r="O270" s="50">
        <f>IF(L270&gt;0,N270*100/L270,0)</f>
        <v>0</v>
      </c>
      <c r="P270" s="50">
        <f>IF(M270&gt;0,N270*100/M270,0)</f>
        <v>0</v>
      </c>
    </row>
    <row r="271" spans="1:16" ht="18.75" hidden="1" x14ac:dyDescent="0.25">
      <c r="A271" s="136"/>
      <c r="B271" s="41"/>
      <c r="C271" s="41"/>
      <c r="D271" s="41"/>
      <c r="E271" s="279" t="s">
        <v>35</v>
      </c>
      <c r="F271" s="41"/>
      <c r="G271" s="43"/>
      <c r="H271" s="146" t="s">
        <v>12</v>
      </c>
      <c r="I271" s="144"/>
      <c r="J271" s="144"/>
      <c r="K271" s="145"/>
      <c r="L271" s="50">
        <f ca="1">IFERROR(__xludf.DUMMYFUNCTION("IMPORTRANGE(""https://docs.google.com/spreadsheets/d/1-uDff_7J0KD5mKrp0Vvzr7lt3OU09vwQwhkpOPPYv2Y/edit?usp=sharing"",""งบพรบ!DE28"")"),0)</f>
        <v>0</v>
      </c>
      <c r="M271" s="50">
        <f ca="1">IFERROR(__xludf.DUMMYFUNCTION("IMPORTRANGE(""https://docs.google.com/spreadsheets/d/1-uDff_7J0KD5mKrp0Vvzr7lt3OU09vwQwhkpOPPYv2Y/edit?usp=sharing"",""งบพรบ!DJ28"")"),0)</f>
        <v>0</v>
      </c>
      <c r="N271" s="50">
        <f ca="1">IFERROR(__xludf.DUMMYFUNCTION("IMPORTRANGE(""https://docs.google.com/spreadsheets/d/1-uDff_7J0KD5mKrp0Vvzr7lt3OU09vwQwhkpOPPYv2Y/edit?usp=sharing"",""งบพรบ!DL28"")"),0)</f>
        <v>0</v>
      </c>
      <c r="O271" s="50">
        <f ca="1">IF(L271&gt;0,N271*100/L271,0)</f>
        <v>0</v>
      </c>
      <c r="P271" s="50">
        <f ca="1">IF(M271&gt;0,N271*100/M271,0)</f>
        <v>0</v>
      </c>
    </row>
    <row r="272" spans="1:16" ht="18.75" hidden="1" x14ac:dyDescent="0.25">
      <c r="A272" s="136"/>
      <c r="B272" s="41"/>
      <c r="C272" s="41"/>
      <c r="D272" s="278" t="s">
        <v>21</v>
      </c>
      <c r="E272" s="41"/>
      <c r="F272" s="41"/>
      <c r="G272" s="43"/>
      <c r="H272" s="199" t="s">
        <v>12</v>
      </c>
      <c r="I272" s="144"/>
      <c r="J272" s="144"/>
      <c r="K272" s="145"/>
      <c r="L272" s="50">
        <f ca="1">L273+L274</f>
        <v>0</v>
      </c>
      <c r="M272" s="50">
        <f ca="1">M273+M274</f>
        <v>0</v>
      </c>
      <c r="N272" s="50">
        <f ca="1">N273+N274</f>
        <v>0</v>
      </c>
      <c r="O272" s="50">
        <f ca="1">IF(L272&gt;0,N272*100/L272,0)</f>
        <v>0</v>
      </c>
      <c r="P272" s="50">
        <f ca="1">IF(M272&gt;0,N272*100/M272,0)</f>
        <v>0</v>
      </c>
    </row>
    <row r="273" spans="1:16" ht="18.75" hidden="1" x14ac:dyDescent="0.25">
      <c r="A273" s="136"/>
      <c r="B273" s="41"/>
      <c r="C273" s="41"/>
      <c r="D273" s="41"/>
      <c r="E273" s="279" t="s">
        <v>18</v>
      </c>
      <c r="F273" s="41"/>
      <c r="G273" s="43"/>
      <c r="H273" s="146" t="s">
        <v>12</v>
      </c>
      <c r="I273" s="144"/>
      <c r="J273" s="144"/>
      <c r="K273" s="145"/>
      <c r="L273" s="50">
        <v>0</v>
      </c>
      <c r="M273" s="50">
        <v>0</v>
      </c>
      <c r="N273" s="50">
        <v>0</v>
      </c>
      <c r="O273" s="50">
        <f>IF(L273&gt;0,N273*100/L273,0)</f>
        <v>0</v>
      </c>
      <c r="P273" s="50">
        <f>IF(M273&gt;0,N273*100/M273,0)</f>
        <v>0</v>
      </c>
    </row>
    <row r="274" spans="1:16" ht="18.75" hidden="1" x14ac:dyDescent="0.25">
      <c r="A274" s="136"/>
      <c r="B274" s="41"/>
      <c r="C274" s="41"/>
      <c r="D274" s="41"/>
      <c r="E274" s="279" t="s">
        <v>19</v>
      </c>
      <c r="F274" s="41"/>
      <c r="G274" s="43"/>
      <c r="H274" s="199" t="s">
        <v>12</v>
      </c>
      <c r="I274" s="144"/>
      <c r="J274" s="144"/>
      <c r="K274" s="145"/>
      <c r="L274" s="50">
        <f ca="1">IFERROR(__xludf.DUMMYFUNCTION("IMPORTRANGE(""https://docs.google.com/spreadsheets/d/1-uDff_7J0KD5mKrp0Vvzr7lt3OU09vwQwhkpOPPYv2Y/edit?usp=sharing"",""งบพรบ!DH28"")"),0)</f>
        <v>0</v>
      </c>
      <c r="M274" s="50">
        <f ca="1">IFERROR(__xludf.DUMMYFUNCTION("IMPORTRANGE(""https://docs.google.com/spreadsheets/d/1-uDff_7J0KD5mKrp0Vvzr7lt3OU09vwQwhkpOPPYv2Y/edit?usp=sharing"",""งบพรบ!DK28"")"),0)</f>
        <v>0</v>
      </c>
      <c r="N274" s="50">
        <f ca="1">IFERROR(__xludf.DUMMYFUNCTION("IMPORTRANGE(""https://docs.google.com/spreadsheets/d/1-uDff_7J0KD5mKrp0Vvzr7lt3OU09vwQwhkpOPPYv2Y/edit?usp=sharing"",""งบพรบ!DM28"")"),0)</f>
        <v>0</v>
      </c>
      <c r="O274" s="50">
        <f ca="1">IF(L274&gt;0,N274*100/L274,0)</f>
        <v>0</v>
      </c>
      <c r="P274" s="50">
        <f ca="1">IF(M274&gt;0,N274*100/M274,0)</f>
        <v>0</v>
      </c>
    </row>
    <row r="275" spans="1:16" ht="19.5" hidden="1" x14ac:dyDescent="0.3">
      <c r="A275" s="148"/>
      <c r="B275" s="149"/>
      <c r="C275" s="279" t="s">
        <v>16</v>
      </c>
      <c r="D275" s="394" t="s">
        <v>36</v>
      </c>
      <c r="E275" s="151"/>
      <c r="F275" s="151"/>
      <c r="G275" s="152"/>
      <c r="H275" s="153"/>
      <c r="I275" s="144"/>
      <c r="J275" s="144"/>
      <c r="K275" s="145"/>
      <c r="L275" s="145"/>
      <c r="M275" s="145"/>
      <c r="N275" s="145"/>
      <c r="O275" s="145"/>
      <c r="P275" s="145"/>
    </row>
    <row r="276" spans="1:16" ht="12.75" hidden="1" x14ac:dyDescent="0.2">
      <c r="A276" s="165"/>
      <c r="B276" s="166"/>
      <c r="C276" s="166"/>
      <c r="D276" s="16"/>
      <c r="E276" s="16"/>
      <c r="F276" s="16"/>
      <c r="G276" s="17"/>
      <c r="H276" s="17"/>
      <c r="I276" s="18"/>
      <c r="J276" s="18"/>
      <c r="K276" s="19"/>
      <c r="L276" s="19"/>
      <c r="M276" s="19"/>
      <c r="N276" s="19"/>
      <c r="O276" s="19"/>
      <c r="P276" s="19"/>
    </row>
    <row r="277" spans="1:16" ht="18.75" hidden="1" x14ac:dyDescent="0.25">
      <c r="A277" s="280"/>
      <c r="B277" s="281"/>
      <c r="C277" s="281"/>
      <c r="D277" s="282" t="s">
        <v>110</v>
      </c>
      <c r="E277" s="283"/>
      <c r="F277" s="283"/>
      <c r="G277" s="284"/>
      <c r="H277" s="285" t="s">
        <v>33</v>
      </c>
      <c r="I277" s="205">
        <v>0</v>
      </c>
      <c r="J277" s="205">
        <v>0</v>
      </c>
      <c r="K277" s="286">
        <v>0</v>
      </c>
      <c r="L277" s="287"/>
      <c r="M277" s="287"/>
      <c r="N277" s="287"/>
      <c r="O277" s="287"/>
      <c r="P277" s="287"/>
    </row>
    <row r="278" spans="1:16" ht="19.5" x14ac:dyDescent="0.3">
      <c r="A278" s="288" t="s">
        <v>111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</row>
    <row r="279" spans="1:16" ht="19.5" x14ac:dyDescent="0.3">
      <c r="A279" s="294" t="s">
        <v>112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299"/>
      <c r="M279" s="299"/>
      <c r="N279" s="299"/>
      <c r="O279" s="299"/>
      <c r="P279" s="299"/>
    </row>
    <row r="280" spans="1:16" ht="19.5" x14ac:dyDescent="0.3">
      <c r="A280" s="300"/>
      <c r="B280" s="301" t="s">
        <v>113</v>
      </c>
      <c r="C280" s="302"/>
      <c r="D280" s="303"/>
      <c r="E280" s="302"/>
      <c r="F280" s="302"/>
      <c r="G280" s="304"/>
      <c r="H280" s="305" t="s">
        <v>33</v>
      </c>
      <c r="I280" s="306">
        <f ca="1">I293</f>
        <v>20</v>
      </c>
      <c r="J280" s="306">
        <f>J293</f>
        <v>0</v>
      </c>
      <c r="K280" s="307">
        <f ca="1">IF(I280&gt;0,J280*100/I280,0)</f>
        <v>0</v>
      </c>
      <c r="L280" s="308"/>
      <c r="M280" s="308"/>
      <c r="N280" s="308"/>
      <c r="O280" s="308"/>
      <c r="P280" s="308"/>
    </row>
    <row r="281" spans="1:16" ht="19.5" x14ac:dyDescent="0.3">
      <c r="A281" s="300"/>
      <c r="B281" s="302"/>
      <c r="C281" s="302"/>
      <c r="D281" s="303"/>
      <c r="E281" s="302"/>
      <c r="F281" s="302"/>
      <c r="G281" s="304"/>
      <c r="H281" s="305" t="s">
        <v>44</v>
      </c>
      <c r="I281" s="306">
        <f ca="1">I292</f>
        <v>200</v>
      </c>
      <c r="J281" s="306">
        <f>J292</f>
        <v>0</v>
      </c>
      <c r="K281" s="307">
        <f ca="1">IF(I281&gt;0,J281*100/I281,0)</f>
        <v>0</v>
      </c>
      <c r="L281" s="308"/>
      <c r="M281" s="308"/>
      <c r="N281" s="308"/>
      <c r="O281" s="308"/>
      <c r="P281" s="308"/>
    </row>
    <row r="282" spans="1:16" ht="19.5" x14ac:dyDescent="0.3">
      <c r="A282" s="136"/>
      <c r="B282" s="41"/>
      <c r="C282" s="197" t="s">
        <v>16</v>
      </c>
      <c r="D282" s="397" t="s">
        <v>17</v>
      </c>
      <c r="E282" s="41"/>
      <c r="F282" s="41"/>
      <c r="G282" s="43"/>
      <c r="H282" s="139" t="s">
        <v>12</v>
      </c>
      <c r="I282" s="45"/>
      <c r="J282" s="45"/>
      <c r="K282" s="46"/>
      <c r="L282" s="140">
        <f ca="1">L283+L284</f>
        <v>155220</v>
      </c>
      <c r="M282" s="140">
        <f ca="1">M283+M284</f>
        <v>119980</v>
      </c>
      <c r="N282" s="140">
        <f ca="1">N283+N284</f>
        <v>27195</v>
      </c>
      <c r="O282" s="140">
        <f ca="1">IF(L282&gt;0,N282*100/L282,0)</f>
        <v>17.520293776575183</v>
      </c>
      <c r="P282" s="140">
        <f ca="1">IF(M282&gt;0,N282*100/M282,0)</f>
        <v>22.666277712952159</v>
      </c>
    </row>
    <row r="283" spans="1:16" ht="18.75" hidden="1" x14ac:dyDescent="0.25">
      <c r="A283" s="136"/>
      <c r="B283" s="41"/>
      <c r="C283" s="41"/>
      <c r="D283" s="41"/>
      <c r="E283" s="279" t="s">
        <v>18</v>
      </c>
      <c r="F283" s="41"/>
      <c r="G283" s="43"/>
      <c r="H283" s="141" t="s">
        <v>12</v>
      </c>
      <c r="I283" s="45"/>
      <c r="J283" s="45"/>
      <c r="K283" s="46"/>
      <c r="L283" s="50">
        <f>L286+L289</f>
        <v>0</v>
      </c>
      <c r="M283" s="50">
        <f>M286+M289</f>
        <v>0</v>
      </c>
      <c r="N283" s="50">
        <f>N286+N289</f>
        <v>0</v>
      </c>
      <c r="O283" s="50">
        <f>IF(L283&gt;0,N283*100/L283,0)</f>
        <v>0</v>
      </c>
      <c r="P283" s="50">
        <f>IF(M283&gt;0,N283*100/M283,0)</f>
        <v>0</v>
      </c>
    </row>
    <row r="284" spans="1:16" ht="18.75" x14ac:dyDescent="0.25">
      <c r="A284" s="136"/>
      <c r="B284" s="41"/>
      <c r="C284" s="41"/>
      <c r="D284" s="41"/>
      <c r="E284" s="254" t="s">
        <v>19</v>
      </c>
      <c r="F284" s="41"/>
      <c r="G284" s="43"/>
      <c r="H284" s="142" t="s">
        <v>12</v>
      </c>
      <c r="I284" s="45"/>
      <c r="J284" s="45"/>
      <c r="K284" s="46"/>
      <c r="L284" s="47">
        <f ca="1">L287+L290</f>
        <v>155220</v>
      </c>
      <c r="M284" s="47">
        <f ca="1">M287+M290</f>
        <v>119980</v>
      </c>
      <c r="N284" s="47">
        <f ca="1">N287+N290</f>
        <v>27195</v>
      </c>
      <c r="O284" s="47">
        <f ca="1">IF(L284&gt;0,N284*100/L284,0)</f>
        <v>17.520293776575183</v>
      </c>
      <c r="P284" s="47">
        <f ca="1">IF(M284&gt;0,N284*100/M284,0)</f>
        <v>22.666277712952159</v>
      </c>
    </row>
    <row r="285" spans="1:16" ht="18.75" x14ac:dyDescent="0.25">
      <c r="A285" s="136"/>
      <c r="B285" s="41"/>
      <c r="C285" s="41"/>
      <c r="D285" s="42" t="s">
        <v>20</v>
      </c>
      <c r="E285" s="41"/>
      <c r="F285" s="41"/>
      <c r="G285" s="43"/>
      <c r="H285" s="143" t="s">
        <v>12</v>
      </c>
      <c r="I285" s="144"/>
      <c r="J285" s="144"/>
      <c r="K285" s="145"/>
      <c r="L285" s="47">
        <f ca="1">L286+L287</f>
        <v>155220</v>
      </c>
      <c r="M285" s="47">
        <f ca="1">M286+M287</f>
        <v>119980</v>
      </c>
      <c r="N285" s="47">
        <f ca="1">N286+N287</f>
        <v>27195</v>
      </c>
      <c r="O285" s="47">
        <f ca="1">IF(L285&gt;0,N285*100/L285,0)</f>
        <v>17.520293776575183</v>
      </c>
      <c r="P285" s="47">
        <f ca="1">IF(M285&gt;0,N285*100/M285,0)</f>
        <v>22.666277712952159</v>
      </c>
    </row>
    <row r="286" spans="1:16" ht="18.75" hidden="1" x14ac:dyDescent="0.25">
      <c r="A286" s="136"/>
      <c r="B286" s="41"/>
      <c r="C286" s="41"/>
      <c r="D286" s="41"/>
      <c r="E286" s="279" t="s">
        <v>34</v>
      </c>
      <c r="F286" s="41"/>
      <c r="G286" s="43"/>
      <c r="H286" s="146" t="s">
        <v>12</v>
      </c>
      <c r="I286" s="144"/>
      <c r="J286" s="144"/>
      <c r="K286" s="145"/>
      <c r="L286" s="50">
        <v>0</v>
      </c>
      <c r="M286" s="50">
        <v>0</v>
      </c>
      <c r="N286" s="50">
        <v>0</v>
      </c>
      <c r="O286" s="50">
        <f>IF(L286&gt;0,N286*100/L286,0)</f>
        <v>0</v>
      </c>
      <c r="P286" s="50">
        <f>IF(M286&gt;0,N286*100/M286,0)</f>
        <v>0</v>
      </c>
    </row>
    <row r="287" spans="1:16" ht="18.75" x14ac:dyDescent="0.25">
      <c r="A287" s="136"/>
      <c r="B287" s="41"/>
      <c r="C287" s="41"/>
      <c r="D287" s="41"/>
      <c r="E287" s="254" t="s">
        <v>35</v>
      </c>
      <c r="F287" s="41"/>
      <c r="G287" s="43"/>
      <c r="H287" s="143" t="s">
        <v>12</v>
      </c>
      <c r="I287" s="144"/>
      <c r="J287" s="144"/>
      <c r="K287" s="145"/>
      <c r="L287" s="47">
        <f ca="1">IFERROR(__xludf.DUMMYFUNCTION("IMPORTRANGE(""https://docs.google.com/spreadsheets/d/1-uDff_7J0KD5mKrp0Vvzr7lt3OU09vwQwhkpOPPYv2Y/edit?usp=sharing"",""งบพรบ!DO28"")"),155220)</f>
        <v>155220</v>
      </c>
      <c r="M287" s="47">
        <f ca="1">IFERROR(__xludf.DUMMYFUNCTION("IMPORTRANGE(""https://docs.google.com/spreadsheets/d/1-uDff_7J0KD5mKrp0Vvzr7lt3OU09vwQwhkpOPPYv2Y/edit?usp=sharing"",""งบพรบ!DT28"")"),119980)</f>
        <v>119980</v>
      </c>
      <c r="N287" s="47">
        <f ca="1">IFERROR(__xludf.DUMMYFUNCTION("IMPORTRANGE(""https://docs.google.com/spreadsheets/d/1-uDff_7J0KD5mKrp0Vvzr7lt3OU09vwQwhkpOPPYv2Y/edit?usp=sharing"",""งบพรบ!DV28"")"),27195)</f>
        <v>27195</v>
      </c>
      <c r="O287" s="47">
        <f ca="1">IF(L287&gt;0,N287*100/L287,0)</f>
        <v>17.520293776575183</v>
      </c>
      <c r="P287" s="47">
        <f ca="1">IF(M287&gt;0,N287*100/M287,0)</f>
        <v>22.666277712952159</v>
      </c>
    </row>
    <row r="288" spans="1:16" ht="18.75" x14ac:dyDescent="0.25">
      <c r="A288" s="136"/>
      <c r="B288" s="41"/>
      <c r="C288" s="41"/>
      <c r="D288" s="42" t="s">
        <v>21</v>
      </c>
      <c r="E288" s="41"/>
      <c r="F288" s="41"/>
      <c r="G288" s="43"/>
      <c r="H288" s="147" t="s">
        <v>12</v>
      </c>
      <c r="I288" s="144"/>
      <c r="J288" s="144"/>
      <c r="K288" s="145"/>
      <c r="L288" s="47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</row>
    <row r="289" spans="1:16" ht="18.75" hidden="1" x14ac:dyDescent="0.25">
      <c r="A289" s="136"/>
      <c r="B289" s="41"/>
      <c r="C289" s="41"/>
      <c r="D289" s="41"/>
      <c r="E289" s="279" t="s">
        <v>18</v>
      </c>
      <c r="F289" s="41"/>
      <c r="G289" s="43"/>
      <c r="H289" s="146" t="s">
        <v>12</v>
      </c>
      <c r="I289" s="144"/>
      <c r="J289" s="144"/>
      <c r="K289" s="145"/>
      <c r="L289" s="50">
        <v>0</v>
      </c>
      <c r="M289" s="50">
        <v>0</v>
      </c>
      <c r="N289" s="50">
        <v>0</v>
      </c>
      <c r="O289" s="50">
        <f>IF(L289&gt;0,N289*100/L289,0)</f>
        <v>0</v>
      </c>
      <c r="P289" s="50">
        <f>IF(M289&gt;0,N289*100/M289,0)</f>
        <v>0</v>
      </c>
    </row>
    <row r="290" spans="1:16" ht="18.75" x14ac:dyDescent="0.25">
      <c r="A290" s="136"/>
      <c r="B290" s="41"/>
      <c r="C290" s="41"/>
      <c r="D290" s="41"/>
      <c r="E290" s="254" t="s">
        <v>19</v>
      </c>
      <c r="F290" s="41"/>
      <c r="G290" s="43"/>
      <c r="H290" s="147" t="s">
        <v>12</v>
      </c>
      <c r="I290" s="144"/>
      <c r="J290" s="144"/>
      <c r="K290" s="145"/>
      <c r="L290" s="47">
        <f ca="1">IFERROR(__xludf.DUMMYFUNCTION("IMPORTRANGE(""https://docs.google.com/spreadsheets/d/1-uDff_7J0KD5mKrp0Vvzr7lt3OU09vwQwhkpOPPYv2Y/edit?usp=sharing"",""งบพรบ!DR28"")"),0)</f>
        <v>0</v>
      </c>
      <c r="M290" s="47">
        <f ca="1">IFERROR(__xludf.DUMMYFUNCTION("IMPORTRANGE(""https://docs.google.com/spreadsheets/d/1-uDff_7J0KD5mKrp0Vvzr7lt3OU09vwQwhkpOPPYv2Y/edit?usp=sharing"",""งบพรบ!DU28"")"),0)</f>
        <v>0</v>
      </c>
      <c r="N290" s="47">
        <f ca="1">IFERROR(__xludf.DUMMYFUNCTION("IMPORTRANGE(""https://docs.google.com/spreadsheets/d/1-uDff_7J0KD5mKrp0Vvzr7lt3OU09vwQwhkpOPPYv2Y/edit?usp=sharing"",""งบพรบ!DW28"")"),0)</f>
        <v>0</v>
      </c>
      <c r="O290" s="47">
        <f ca="1">IF(L290&gt;0,N290*100/L290,0)</f>
        <v>0</v>
      </c>
      <c r="P290" s="47">
        <f ca="1">IF(M290&gt;0,N290*100/M290,0)</f>
        <v>0</v>
      </c>
    </row>
    <row r="291" spans="1:16" ht="19.5" x14ac:dyDescent="0.3">
      <c r="A291" s="148"/>
      <c r="B291" s="149"/>
      <c r="C291" s="197" t="s">
        <v>16</v>
      </c>
      <c r="D291" s="395" t="s">
        <v>36</v>
      </c>
      <c r="E291" s="151"/>
      <c r="F291" s="151"/>
      <c r="G291" s="152"/>
      <c r="H291" s="153"/>
      <c r="I291" s="144"/>
      <c r="J291" s="144"/>
      <c r="K291" s="145"/>
      <c r="L291" s="145"/>
      <c r="M291" s="145"/>
      <c r="N291" s="145"/>
      <c r="O291" s="145"/>
      <c r="P291" s="145"/>
    </row>
    <row r="292" spans="1:16" ht="18.75" x14ac:dyDescent="0.25">
      <c r="A292" s="148"/>
      <c r="B292" s="149"/>
      <c r="C292" s="149"/>
      <c r="D292" s="159" t="s">
        <v>114</v>
      </c>
      <c r="E292" s="149"/>
      <c r="F292" s="155"/>
      <c r="G292" s="153"/>
      <c r="H292" s="164" t="s">
        <v>44</v>
      </c>
      <c r="I292" s="169">
        <f ca="1">IFERROR(__xludf.DUMMYFUNCTION("IMPORTRANGE(""https://docs.google.com/spreadsheets/d/1eHaY18a8A9IcSdp1K8H6x8fbOy06t2VsZHhMHf-1x7Y/edit?usp=sharing"",""แผน!EE28"")"),200)</f>
        <v>200</v>
      </c>
      <c r="J292" s="250">
        <v>0</v>
      </c>
      <c r="K292" s="163">
        <f ca="1">IF(I292&gt;0,J292*100/I292,0)</f>
        <v>0</v>
      </c>
      <c r="L292" s="145"/>
      <c r="M292" s="145"/>
      <c r="N292" s="145"/>
      <c r="O292" s="145"/>
      <c r="P292" s="145"/>
    </row>
    <row r="293" spans="1:16" ht="19.5" x14ac:dyDescent="0.3">
      <c r="A293" s="148"/>
      <c r="B293" s="149"/>
      <c r="C293" s="149"/>
      <c r="D293" s="159" t="s">
        <v>115</v>
      </c>
      <c r="E293" s="149"/>
      <c r="F293" s="155"/>
      <c r="G293" s="153"/>
      <c r="H293" s="156" t="s">
        <v>33</v>
      </c>
      <c r="I293" s="157">
        <f ca="1">IFERROR(__xludf.DUMMYFUNCTION("IMPORTRANGE(""https://docs.google.com/spreadsheets/d/1eHaY18a8A9IcSdp1K8H6x8fbOy06t2VsZHhMHf-1x7Y/edit?usp=sharing"",""แผน!ED28"")"),20)</f>
        <v>20</v>
      </c>
      <c r="J293" s="157">
        <f>J296</f>
        <v>0</v>
      </c>
      <c r="K293" s="158">
        <f ca="1">IF(I293&gt;0,J293*100/I293,0)</f>
        <v>0</v>
      </c>
      <c r="L293" s="145"/>
      <c r="M293" s="145"/>
      <c r="N293" s="145"/>
      <c r="O293" s="145"/>
      <c r="P293" s="145"/>
    </row>
    <row r="294" spans="1:16" ht="19.5" x14ac:dyDescent="0.3">
      <c r="A294" s="148"/>
      <c r="B294" s="149"/>
      <c r="C294" s="149"/>
      <c r="D294" s="155"/>
      <c r="E294" s="167" t="s">
        <v>116</v>
      </c>
      <c r="F294" s="155"/>
      <c r="G294" s="153"/>
      <c r="H294" s="153"/>
      <c r="I294" s="144"/>
      <c r="J294" s="45"/>
      <c r="K294" s="145"/>
      <c r="L294" s="145"/>
      <c r="M294" s="145"/>
      <c r="N294" s="145"/>
      <c r="O294" s="145"/>
      <c r="P294" s="145"/>
    </row>
    <row r="295" spans="1:16" ht="19.5" x14ac:dyDescent="0.3">
      <c r="A295" s="148"/>
      <c r="B295" s="149"/>
      <c r="C295" s="149"/>
      <c r="D295" s="155"/>
      <c r="E295" s="159" t="s">
        <v>117</v>
      </c>
      <c r="F295" s="155"/>
      <c r="G295" s="153"/>
      <c r="H295" s="251" t="s">
        <v>33</v>
      </c>
      <c r="I295" s="161">
        <f ca="1">IFERROR(__xludf.DUMMYFUNCTION("IMPORTRANGE(""https://docs.google.com/spreadsheets/d/1eHaY18a8A9IcSdp1K8H6x8fbOy06t2VsZHhMHf-1x7Y/edit?usp=sharing"",""แผน!ED28"")"),20)</f>
        <v>20</v>
      </c>
      <c r="J295" s="250">
        <v>0</v>
      </c>
      <c r="K295" s="163">
        <f ca="1">IF(I295&gt;0,J295*100/I295,0)</f>
        <v>0</v>
      </c>
      <c r="L295" s="145"/>
      <c r="M295" s="145"/>
      <c r="N295" s="145"/>
      <c r="O295" s="145"/>
      <c r="P295" s="145"/>
    </row>
    <row r="296" spans="1:16" ht="19.5" x14ac:dyDescent="0.3">
      <c r="A296" s="148"/>
      <c r="B296" s="149"/>
      <c r="C296" s="149"/>
      <c r="D296" s="155"/>
      <c r="E296" s="159" t="s">
        <v>118</v>
      </c>
      <c r="F296" s="155"/>
      <c r="G296" s="153"/>
      <c r="H296" s="251" t="s">
        <v>33</v>
      </c>
      <c r="I296" s="161">
        <f ca="1">IFERROR(__xludf.DUMMYFUNCTION("IMPORTRANGE(""https://docs.google.com/spreadsheets/d/1eHaY18a8A9IcSdp1K8H6x8fbOy06t2VsZHhMHf-1x7Y/edit?usp=sharing"",""แผน!ED28"")"),20)</f>
        <v>20</v>
      </c>
      <c r="J296" s="250">
        <v>0</v>
      </c>
      <c r="K296" s="163">
        <f ca="1">IF(I296&gt;0,J296*100/I296,0)</f>
        <v>0</v>
      </c>
      <c r="L296" s="145"/>
      <c r="M296" s="145"/>
      <c r="N296" s="145"/>
      <c r="O296" s="145"/>
      <c r="P296" s="145"/>
    </row>
    <row r="297" spans="1:16" ht="12.75" hidden="1" x14ac:dyDescent="0.2">
      <c r="A297" s="165"/>
      <c r="B297" s="166"/>
      <c r="C297" s="166"/>
      <c r="D297" s="16"/>
      <c r="E297" s="16"/>
      <c r="F297" s="16"/>
      <c r="G297" s="17"/>
      <c r="H297" s="17"/>
      <c r="I297" s="18"/>
      <c r="J297" s="18"/>
      <c r="K297" s="19"/>
      <c r="L297" s="19"/>
      <c r="M297" s="19"/>
      <c r="N297" s="19"/>
      <c r="O297" s="19"/>
      <c r="P297" s="19"/>
    </row>
    <row r="298" spans="1:16" ht="12.75" hidden="1" x14ac:dyDescent="0.2">
      <c r="A298" s="165"/>
      <c r="B298" s="166"/>
      <c r="C298" s="166"/>
      <c r="D298" s="16"/>
      <c r="E298" s="16"/>
      <c r="F298" s="16"/>
      <c r="G298" s="17"/>
      <c r="H298" s="17"/>
      <c r="I298" s="18"/>
      <c r="J298" s="18"/>
      <c r="K298" s="19"/>
      <c r="L298" s="19"/>
      <c r="M298" s="19"/>
      <c r="N298" s="19"/>
      <c r="O298" s="19"/>
      <c r="P298" s="19"/>
    </row>
    <row r="299" spans="1:16" ht="12.75" hidden="1" x14ac:dyDescent="0.2">
      <c r="A299" s="309"/>
      <c r="B299" s="310"/>
      <c r="C299" s="310"/>
      <c r="D299" s="21"/>
      <c r="E299" s="21"/>
      <c r="F299" s="21"/>
      <c r="G299" s="12"/>
      <c r="H299" s="12"/>
      <c r="I299" s="13"/>
      <c r="J299" s="13"/>
      <c r="K299" s="14"/>
      <c r="L299" s="14"/>
      <c r="M299" s="14"/>
      <c r="N299" s="14"/>
      <c r="O299" s="14"/>
      <c r="P299" s="14"/>
    </row>
    <row r="300" spans="1:16" ht="19.5" hidden="1" x14ac:dyDescent="0.3">
      <c r="A300" s="311" t="s">
        <v>119</v>
      </c>
      <c r="B300" s="312"/>
      <c r="C300" s="312"/>
      <c r="D300" s="312"/>
      <c r="E300" s="313"/>
      <c r="F300" s="313"/>
      <c r="G300" s="313"/>
      <c r="H300" s="313"/>
      <c r="I300" s="314"/>
      <c r="J300" s="314"/>
      <c r="K300" s="315"/>
      <c r="L300" s="315"/>
      <c r="M300" s="315"/>
      <c r="N300" s="315"/>
      <c r="O300" s="315"/>
      <c r="P300" s="316"/>
    </row>
    <row r="301" spans="1:16" ht="19.5" hidden="1" x14ac:dyDescent="0.3">
      <c r="A301" s="317" t="s">
        <v>120</v>
      </c>
      <c r="B301" s="318"/>
      <c r="C301" s="318"/>
      <c r="D301" s="319"/>
      <c r="E301" s="319"/>
      <c r="F301" s="319"/>
      <c r="G301" s="320"/>
      <c r="H301" s="320"/>
      <c r="I301" s="321"/>
      <c r="J301" s="321"/>
      <c r="K301" s="322"/>
      <c r="L301" s="322"/>
      <c r="M301" s="322"/>
      <c r="N301" s="322"/>
      <c r="O301" s="322"/>
      <c r="P301" s="322"/>
    </row>
    <row r="302" spans="1:16" ht="19.5" hidden="1" x14ac:dyDescent="0.3">
      <c r="A302" s="323"/>
      <c r="B302" s="324" t="s">
        <v>121</v>
      </c>
      <c r="C302" s="325"/>
      <c r="D302" s="325"/>
      <c r="E302" s="325"/>
      <c r="F302" s="325"/>
      <c r="G302" s="326"/>
      <c r="H302" s="327" t="s">
        <v>33</v>
      </c>
      <c r="I302" s="328">
        <f ca="1">I314</f>
        <v>0</v>
      </c>
      <c r="J302" s="328">
        <f>J314</f>
        <v>0</v>
      </c>
      <c r="K302" s="329">
        <f ca="1">IF(I302&gt;0,J302*100/I302,0)</f>
        <v>0</v>
      </c>
      <c r="L302" s="330"/>
      <c r="M302" s="330"/>
      <c r="N302" s="330"/>
      <c r="O302" s="330"/>
      <c r="P302" s="330"/>
    </row>
    <row r="303" spans="1:16" ht="19.5" hidden="1" x14ac:dyDescent="0.3">
      <c r="A303" s="136"/>
      <c r="B303" s="41"/>
      <c r="C303" s="197" t="s">
        <v>16</v>
      </c>
      <c r="D303" s="397" t="s">
        <v>17</v>
      </c>
      <c r="E303" s="41"/>
      <c r="F303" s="41"/>
      <c r="G303" s="43"/>
      <c r="H303" s="139" t="s">
        <v>12</v>
      </c>
      <c r="I303" s="45"/>
      <c r="J303" s="45"/>
      <c r="K303" s="46"/>
      <c r="L303" s="140">
        <f ca="1">L304+L305</f>
        <v>0</v>
      </c>
      <c r="M303" s="140">
        <f ca="1">M304+M305</f>
        <v>0</v>
      </c>
      <c r="N303" s="140">
        <f ca="1">N304+N305</f>
        <v>0</v>
      </c>
      <c r="O303" s="140">
        <f ca="1">IF(L303&gt;0,N303*100/L303,0)</f>
        <v>0</v>
      </c>
      <c r="P303" s="140">
        <f ca="1">IF(M303&gt;0,N303*100/M303,0)</f>
        <v>0</v>
      </c>
    </row>
    <row r="304" spans="1:16" ht="18.75" hidden="1" x14ac:dyDescent="0.25">
      <c r="A304" s="136"/>
      <c r="B304" s="41"/>
      <c r="C304" s="41"/>
      <c r="D304" s="41"/>
      <c r="E304" s="279" t="s">
        <v>18</v>
      </c>
      <c r="F304" s="41"/>
      <c r="G304" s="43"/>
      <c r="H304" s="141" t="s">
        <v>12</v>
      </c>
      <c r="I304" s="45"/>
      <c r="J304" s="45"/>
      <c r="K304" s="46"/>
      <c r="L304" s="50">
        <f>L307+L310</f>
        <v>0</v>
      </c>
      <c r="M304" s="50">
        <f>M307+M310</f>
        <v>0</v>
      </c>
      <c r="N304" s="50">
        <f>N307+N310</f>
        <v>0</v>
      </c>
      <c r="O304" s="50">
        <f>IF(L304&gt;0,N304*100/L304,0)</f>
        <v>0</v>
      </c>
      <c r="P304" s="50">
        <f>IF(M304&gt;0,N304*100/M304,0)</f>
        <v>0</v>
      </c>
    </row>
    <row r="305" spans="1:16" ht="18.75" hidden="1" x14ac:dyDescent="0.25">
      <c r="A305" s="136"/>
      <c r="B305" s="41"/>
      <c r="C305" s="41"/>
      <c r="D305" s="41"/>
      <c r="E305" s="254" t="s">
        <v>19</v>
      </c>
      <c r="F305" s="41"/>
      <c r="G305" s="43"/>
      <c r="H305" s="142" t="s">
        <v>12</v>
      </c>
      <c r="I305" s="45"/>
      <c r="J305" s="45"/>
      <c r="K305" s="46"/>
      <c r="L305" s="47">
        <f ca="1">L308+L311</f>
        <v>0</v>
      </c>
      <c r="M305" s="47">
        <f ca="1">M308+M311</f>
        <v>0</v>
      </c>
      <c r="N305" s="47">
        <f ca="1">N308+N311</f>
        <v>0</v>
      </c>
      <c r="O305" s="47">
        <f ca="1">IF(L305&gt;0,N305*100/L305,0)</f>
        <v>0</v>
      </c>
      <c r="P305" s="47">
        <f ca="1">IF(M305&gt;0,N305*100/M305,0)</f>
        <v>0</v>
      </c>
    </row>
    <row r="306" spans="1:16" ht="18.75" hidden="1" x14ac:dyDescent="0.25">
      <c r="A306" s="136"/>
      <c r="B306" s="41"/>
      <c r="C306" s="41"/>
      <c r="D306" s="42" t="s">
        <v>20</v>
      </c>
      <c r="E306" s="41"/>
      <c r="F306" s="41"/>
      <c r="G306" s="43"/>
      <c r="H306" s="143" t="s">
        <v>12</v>
      </c>
      <c r="I306" s="144"/>
      <c r="J306" s="144"/>
      <c r="K306" s="145"/>
      <c r="L306" s="47">
        <f ca="1">L307+L308</f>
        <v>0</v>
      </c>
      <c r="M306" s="47">
        <f ca="1">M307+M308</f>
        <v>0</v>
      </c>
      <c r="N306" s="47">
        <f ca="1">N307+N308</f>
        <v>0</v>
      </c>
      <c r="O306" s="47">
        <f ca="1">IF(L306&gt;0,N306*100/L306,0)</f>
        <v>0</v>
      </c>
      <c r="P306" s="47">
        <f ca="1">IF(M306&gt;0,N306*100/M306,0)</f>
        <v>0</v>
      </c>
    </row>
    <row r="307" spans="1:16" ht="18.75" hidden="1" x14ac:dyDescent="0.25">
      <c r="A307" s="136"/>
      <c r="B307" s="41"/>
      <c r="C307" s="41"/>
      <c r="D307" s="41"/>
      <c r="E307" s="279" t="s">
        <v>34</v>
      </c>
      <c r="F307" s="41"/>
      <c r="G307" s="43"/>
      <c r="H307" s="146" t="s">
        <v>12</v>
      </c>
      <c r="I307" s="144"/>
      <c r="J307" s="144"/>
      <c r="K307" s="145"/>
      <c r="L307" s="50">
        <v>0</v>
      </c>
      <c r="M307" s="50">
        <v>0</v>
      </c>
      <c r="N307" s="50">
        <v>0</v>
      </c>
      <c r="O307" s="50">
        <f>IF(L307&gt;0,N307*100/L307,0)</f>
        <v>0</v>
      </c>
      <c r="P307" s="50">
        <f>IF(M307&gt;0,N307*100/M307,0)</f>
        <v>0</v>
      </c>
    </row>
    <row r="308" spans="1:16" ht="18.75" hidden="1" x14ac:dyDescent="0.25">
      <c r="A308" s="136"/>
      <c r="B308" s="41"/>
      <c r="C308" s="41"/>
      <c r="D308" s="41"/>
      <c r="E308" s="254" t="s">
        <v>35</v>
      </c>
      <c r="F308" s="41"/>
      <c r="G308" s="43"/>
      <c r="H308" s="143" t="s">
        <v>12</v>
      </c>
      <c r="I308" s="144"/>
      <c r="J308" s="144"/>
      <c r="K308" s="145"/>
      <c r="L308" s="47">
        <f ca="1">IFERROR(__xludf.DUMMYFUNCTION("IMPORTRANGE(""https://docs.google.com/spreadsheets/d/1-uDff_7J0KD5mKrp0Vvzr7lt3OU09vwQwhkpOPPYv2Y/edit?usp=sharing"",""งบพรบ!DY28"")"),0)</f>
        <v>0</v>
      </c>
      <c r="M308" s="47">
        <f ca="1">IFERROR(__xludf.DUMMYFUNCTION("IMPORTRANGE(""https://docs.google.com/spreadsheets/d/1-uDff_7J0KD5mKrp0Vvzr7lt3OU09vwQwhkpOPPYv2Y/edit?usp=sharing"",""งบพรบ!ED28"")"),0)</f>
        <v>0</v>
      </c>
      <c r="N308" s="47">
        <f ca="1">IFERROR(__xludf.DUMMYFUNCTION("IMPORTRANGE(""https://docs.google.com/spreadsheets/d/1-uDff_7J0KD5mKrp0Vvzr7lt3OU09vwQwhkpOPPYv2Y/edit?usp=sharing"",""งบพรบ!EF28"")"),0)</f>
        <v>0</v>
      </c>
      <c r="O308" s="47">
        <f ca="1">IF(L308&gt;0,N308*100/L308,0)</f>
        <v>0</v>
      </c>
      <c r="P308" s="47">
        <f ca="1">IF(M308&gt;0,N308*100/M308,0)</f>
        <v>0</v>
      </c>
    </row>
    <row r="309" spans="1:16" ht="18.75" hidden="1" x14ac:dyDescent="0.25">
      <c r="A309" s="136"/>
      <c r="B309" s="41"/>
      <c r="C309" s="41"/>
      <c r="D309" s="42" t="s">
        <v>21</v>
      </c>
      <c r="E309" s="41"/>
      <c r="F309" s="41"/>
      <c r="G309" s="43"/>
      <c r="H309" s="147" t="s">
        <v>12</v>
      </c>
      <c r="I309" s="144"/>
      <c r="J309" s="144"/>
      <c r="K309" s="145"/>
      <c r="L309" s="47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</row>
    <row r="310" spans="1:16" ht="18.75" hidden="1" x14ac:dyDescent="0.25">
      <c r="A310" s="136"/>
      <c r="B310" s="41"/>
      <c r="C310" s="41"/>
      <c r="D310" s="41"/>
      <c r="E310" s="279" t="s">
        <v>18</v>
      </c>
      <c r="F310" s="41"/>
      <c r="G310" s="43"/>
      <c r="H310" s="146" t="s">
        <v>12</v>
      </c>
      <c r="I310" s="144"/>
      <c r="J310" s="144"/>
      <c r="K310" s="145"/>
      <c r="L310" s="50">
        <v>0</v>
      </c>
      <c r="M310" s="50">
        <v>0</v>
      </c>
      <c r="N310" s="50">
        <v>0</v>
      </c>
      <c r="O310" s="50">
        <f>IF(L310&gt;0,N310*100/L310,0)</f>
        <v>0</v>
      </c>
      <c r="P310" s="50">
        <f>IF(M310&gt;0,N310*100/M310,0)</f>
        <v>0</v>
      </c>
    </row>
    <row r="311" spans="1:16" ht="18.75" hidden="1" x14ac:dyDescent="0.25">
      <c r="A311" s="136"/>
      <c r="B311" s="41"/>
      <c r="C311" s="41"/>
      <c r="D311" s="41"/>
      <c r="E311" s="254" t="s">
        <v>19</v>
      </c>
      <c r="F311" s="41"/>
      <c r="G311" s="43"/>
      <c r="H311" s="147" t="s">
        <v>12</v>
      </c>
      <c r="I311" s="144"/>
      <c r="J311" s="144"/>
      <c r="K311" s="145"/>
      <c r="L311" s="47">
        <f ca="1">IFERROR(__xludf.DUMMYFUNCTION("IMPORTRANGE(""https://docs.google.com/spreadsheets/d/1-uDff_7J0KD5mKrp0Vvzr7lt3OU09vwQwhkpOPPYv2Y/edit?usp=sharing"",""งบพรบ!EB28"")"),0)</f>
        <v>0</v>
      </c>
      <c r="M311" s="47">
        <f ca="1">IFERROR(__xludf.DUMMYFUNCTION("IMPORTRANGE(""https://docs.google.com/spreadsheets/d/1-uDff_7J0KD5mKrp0Vvzr7lt3OU09vwQwhkpOPPYv2Y/edit?usp=sharing"",""งบพรบ!EE28"")"),0)</f>
        <v>0</v>
      </c>
      <c r="N311" s="47">
        <f ca="1">IFERROR(__xludf.DUMMYFUNCTION("IMPORTRANGE(""https://docs.google.com/spreadsheets/d/1-uDff_7J0KD5mKrp0Vvzr7lt3OU09vwQwhkpOPPYv2Y/edit?usp=sharing"",""งบพรบ!EG28"")"),0)</f>
        <v>0</v>
      </c>
      <c r="O311" s="47">
        <f ca="1">IF(L311&gt;0,N311*100/L311,0)</f>
        <v>0</v>
      </c>
      <c r="P311" s="47">
        <f ca="1">IF(M311&gt;0,N311*100/M311,0)</f>
        <v>0</v>
      </c>
    </row>
    <row r="312" spans="1:16" ht="19.5" hidden="1" x14ac:dyDescent="0.3">
      <c r="A312" s="148"/>
      <c r="B312" s="149"/>
      <c r="C312" s="197" t="s">
        <v>16</v>
      </c>
      <c r="D312" s="395" t="s">
        <v>36</v>
      </c>
      <c r="E312" s="151"/>
      <c r="F312" s="151"/>
      <c r="G312" s="152"/>
      <c r="H312" s="153"/>
      <c r="I312" s="45"/>
      <c r="J312" s="45"/>
      <c r="K312" s="46"/>
      <c r="L312" s="46"/>
      <c r="M312" s="46"/>
      <c r="N312" s="46"/>
      <c r="O312" s="46"/>
      <c r="P312" s="46"/>
    </row>
    <row r="313" spans="1:16" ht="18.75" hidden="1" x14ac:dyDescent="0.25">
      <c r="A313" s="148"/>
      <c r="B313" s="149"/>
      <c r="C313" s="149"/>
      <c r="D313" s="159" t="s">
        <v>122</v>
      </c>
      <c r="E313" s="155"/>
      <c r="F313" s="155"/>
      <c r="G313" s="153"/>
      <c r="H313" s="153"/>
      <c r="I313" s="45"/>
      <c r="J313" s="250">
        <v>0</v>
      </c>
      <c r="K313" s="46"/>
      <c r="L313" s="46"/>
      <c r="M313" s="46"/>
      <c r="N313" s="46"/>
      <c r="O313" s="46"/>
      <c r="P313" s="46"/>
    </row>
    <row r="314" spans="1:16" ht="18.75" hidden="1" x14ac:dyDescent="0.25">
      <c r="A314" s="148"/>
      <c r="B314" s="149"/>
      <c r="C314" s="149"/>
      <c r="D314" s="159" t="s">
        <v>115</v>
      </c>
      <c r="E314" s="155"/>
      <c r="F314" s="155"/>
      <c r="G314" s="153"/>
      <c r="H314" s="251" t="s">
        <v>33</v>
      </c>
      <c r="I314" s="169">
        <f ca="1">IFERROR(__xludf.DUMMYFUNCTION("IMPORTRANGE(""https://docs.google.com/spreadsheets/d/1eHaY18a8A9IcSdp1K8H6x8fbOy06t2VsZHhMHf-1x7Y/edit?usp=sharing"",""แผน!EF28"")"),0)</f>
        <v>0</v>
      </c>
      <c r="J314" s="250">
        <v>0</v>
      </c>
      <c r="K314" s="47">
        <f ca="1">IF(I314&gt;0,J314*100/I314,0)</f>
        <v>0</v>
      </c>
      <c r="L314" s="46"/>
      <c r="M314" s="46"/>
      <c r="N314" s="46"/>
      <c r="O314" s="46"/>
      <c r="P314" s="46"/>
    </row>
    <row r="315" spans="1:16" ht="18.75" hidden="1" x14ac:dyDescent="0.25">
      <c r="A315" s="148"/>
      <c r="B315" s="149"/>
      <c r="C315" s="149"/>
      <c r="D315" s="159" t="s">
        <v>123</v>
      </c>
      <c r="E315" s="155"/>
      <c r="F315" s="155"/>
      <c r="G315" s="153"/>
      <c r="H315" s="251" t="s">
        <v>33</v>
      </c>
      <c r="I315" s="169">
        <f ca="1">IFERROR(__xludf.DUMMYFUNCTION("IMPORTRANGE(""https://docs.google.com/spreadsheets/d/1eHaY18a8A9IcSdp1K8H6x8fbOy06t2VsZHhMHf-1x7Y/edit?usp=sharing"",""แผน!EG28"")"),0)</f>
        <v>0</v>
      </c>
      <c r="J315" s="250">
        <v>0</v>
      </c>
      <c r="K315" s="47">
        <f ca="1">IF(I315&gt;0,J315*100/I315,0)</f>
        <v>0</v>
      </c>
      <c r="L315" s="46"/>
      <c r="M315" s="46"/>
      <c r="N315" s="46"/>
      <c r="O315" s="46"/>
      <c r="P315" s="46"/>
    </row>
    <row r="316" spans="1:16" ht="18.75" hidden="1" x14ac:dyDescent="0.25">
      <c r="A316" s="148"/>
      <c r="B316" s="149"/>
      <c r="C316" s="149"/>
      <c r="D316" s="159" t="s">
        <v>48</v>
      </c>
      <c r="E316" s="155"/>
      <c r="F316" s="155"/>
      <c r="G316" s="153"/>
      <c r="H316" s="251" t="s">
        <v>33</v>
      </c>
      <c r="I316" s="169">
        <f ca="1">IFERROR(__xludf.DUMMYFUNCTION("IMPORTRANGE(""https://docs.google.com/spreadsheets/d/1eHaY18a8A9IcSdp1K8H6x8fbOy06t2VsZHhMHf-1x7Y/edit?usp=sharing"",""แผน!EH28"")"),0)</f>
        <v>0</v>
      </c>
      <c r="J316" s="250">
        <v>0</v>
      </c>
      <c r="K316" s="47">
        <f ca="1">IF(I316&gt;0,J316*100/I316,0)</f>
        <v>0</v>
      </c>
      <c r="L316" s="46"/>
      <c r="M316" s="46"/>
      <c r="N316" s="46"/>
      <c r="O316" s="46"/>
      <c r="P316" s="46"/>
    </row>
    <row r="317" spans="1:16" ht="18.75" hidden="1" x14ac:dyDescent="0.25">
      <c r="A317" s="227"/>
      <c r="B317" s="228"/>
      <c r="C317" s="228"/>
      <c r="D317" s="279" t="s">
        <v>124</v>
      </c>
      <c r="E317" s="41"/>
      <c r="F317" s="41"/>
      <c r="G317" s="43"/>
      <c r="H317" s="49" t="s">
        <v>33</v>
      </c>
      <c r="I317" s="200">
        <f ca="1">IFERROR(__xludf.DUMMYFUNCTION("IMPORTRANGE(""https://docs.google.com/spreadsheets/d/1eHaY18a8A9IcSdp1K8H6x8fbOy06t2VsZHhMHf-1x7Y/edit?usp=sharing"",""แผน!EI28"")"),0)</f>
        <v>0</v>
      </c>
      <c r="J317" s="200">
        <v>0</v>
      </c>
      <c r="K317" s="50">
        <f ca="1">IF(I317&gt;0,J317*100/I317,0)</f>
        <v>0</v>
      </c>
      <c r="L317" s="46"/>
      <c r="M317" s="46"/>
      <c r="N317" s="46"/>
      <c r="O317" s="46"/>
      <c r="P317" s="46"/>
    </row>
    <row r="318" spans="1:16" ht="19.5" hidden="1" x14ac:dyDescent="0.3">
      <c r="A318" s="317" t="s">
        <v>125</v>
      </c>
      <c r="B318" s="318"/>
      <c r="C318" s="318"/>
      <c r="D318" s="319"/>
      <c r="E318" s="318"/>
      <c r="F318" s="318"/>
      <c r="G318" s="318"/>
      <c r="H318" s="319"/>
      <c r="I318" s="321"/>
      <c r="J318" s="321"/>
      <c r="K318" s="322"/>
      <c r="L318" s="322"/>
      <c r="M318" s="322"/>
      <c r="N318" s="322"/>
      <c r="O318" s="322"/>
      <c r="P318" s="322"/>
    </row>
    <row r="319" spans="1:16" ht="19.5" hidden="1" x14ac:dyDescent="0.3">
      <c r="A319" s="331"/>
      <c r="B319" s="324" t="s">
        <v>126</v>
      </c>
      <c r="C319" s="332"/>
      <c r="D319" s="333"/>
      <c r="E319" s="325"/>
      <c r="F319" s="325"/>
      <c r="G319" s="326"/>
      <c r="H319" s="327" t="s">
        <v>127</v>
      </c>
      <c r="I319" s="328">
        <f ca="1">I330</f>
        <v>0</v>
      </c>
      <c r="J319" s="328">
        <f>J330</f>
        <v>0</v>
      </c>
      <c r="K319" s="329">
        <f ca="1">IF(I319&gt;0,J319*100/I319,0)</f>
        <v>0</v>
      </c>
      <c r="L319" s="330"/>
      <c r="M319" s="330"/>
      <c r="N319" s="330"/>
      <c r="O319" s="330"/>
      <c r="P319" s="330"/>
    </row>
    <row r="320" spans="1:16" ht="19.5" hidden="1" x14ac:dyDescent="0.3">
      <c r="A320" s="136"/>
      <c r="B320" s="41"/>
      <c r="C320" s="197" t="s">
        <v>16</v>
      </c>
      <c r="D320" s="397" t="s">
        <v>17</v>
      </c>
      <c r="E320" s="41"/>
      <c r="F320" s="41"/>
      <c r="G320" s="43"/>
      <c r="H320" s="139" t="s">
        <v>12</v>
      </c>
      <c r="I320" s="45"/>
      <c r="J320" s="45"/>
      <c r="K320" s="46"/>
      <c r="L320" s="140">
        <f ca="1">L321+L322</f>
        <v>0</v>
      </c>
      <c r="M320" s="140">
        <f ca="1">M321+M322</f>
        <v>0</v>
      </c>
      <c r="N320" s="140">
        <f ca="1">N321+N322</f>
        <v>0</v>
      </c>
      <c r="O320" s="140">
        <f ca="1">IF(L320&gt;0,N320*100/L320,0)</f>
        <v>0</v>
      </c>
      <c r="P320" s="140">
        <f ca="1">IF(M320&gt;0,N320*100/M320,0)</f>
        <v>0</v>
      </c>
    </row>
    <row r="321" spans="1:16" ht="18.75" hidden="1" x14ac:dyDescent="0.25">
      <c r="A321" s="136"/>
      <c r="B321" s="41"/>
      <c r="C321" s="41"/>
      <c r="D321" s="41"/>
      <c r="E321" s="279" t="s">
        <v>18</v>
      </c>
      <c r="F321" s="41"/>
      <c r="G321" s="43"/>
      <c r="H321" s="141" t="s">
        <v>12</v>
      </c>
      <c r="I321" s="45"/>
      <c r="J321" s="45"/>
      <c r="K321" s="46"/>
      <c r="L321" s="50">
        <f>L324+L327</f>
        <v>0</v>
      </c>
      <c r="M321" s="50">
        <f>M324+M327</f>
        <v>0</v>
      </c>
      <c r="N321" s="50">
        <f>N324+N327</f>
        <v>0</v>
      </c>
      <c r="O321" s="50">
        <f>IF(L321&gt;0,N321*100/L321,0)</f>
        <v>0</v>
      </c>
      <c r="P321" s="50">
        <f>IF(M321&gt;0,N321*100/M321,0)</f>
        <v>0</v>
      </c>
    </row>
    <row r="322" spans="1:16" ht="18.75" hidden="1" x14ac:dyDescent="0.25">
      <c r="A322" s="136"/>
      <c r="B322" s="41"/>
      <c r="C322" s="41"/>
      <c r="D322" s="41"/>
      <c r="E322" s="254" t="s">
        <v>19</v>
      </c>
      <c r="F322" s="41"/>
      <c r="G322" s="43"/>
      <c r="H322" s="142" t="s">
        <v>12</v>
      </c>
      <c r="I322" s="45"/>
      <c r="J322" s="45"/>
      <c r="K322" s="46"/>
      <c r="L322" s="47">
        <f ca="1">L325+L328</f>
        <v>0</v>
      </c>
      <c r="M322" s="47">
        <f ca="1">M325+M328</f>
        <v>0</v>
      </c>
      <c r="N322" s="47">
        <f ca="1">N325+N328</f>
        <v>0</v>
      </c>
      <c r="O322" s="47">
        <f ca="1">IF(L322&gt;0,N322*100/L322,0)</f>
        <v>0</v>
      </c>
      <c r="P322" s="47">
        <f ca="1">IF(M322&gt;0,N322*100/M322,0)</f>
        <v>0</v>
      </c>
    </row>
    <row r="323" spans="1:16" ht="18.75" hidden="1" x14ac:dyDescent="0.25">
      <c r="A323" s="136"/>
      <c r="B323" s="41"/>
      <c r="C323" s="41"/>
      <c r="D323" s="42" t="s">
        <v>20</v>
      </c>
      <c r="E323" s="41"/>
      <c r="F323" s="41"/>
      <c r="G323" s="43"/>
      <c r="H323" s="143" t="s">
        <v>12</v>
      </c>
      <c r="I323" s="144"/>
      <c r="J323" s="144"/>
      <c r="K323" s="145"/>
      <c r="L323" s="47">
        <f ca="1">L324+L325</f>
        <v>0</v>
      </c>
      <c r="M323" s="47">
        <f ca="1">M324+M325</f>
        <v>0</v>
      </c>
      <c r="N323" s="47">
        <f ca="1">N324+N325</f>
        <v>0</v>
      </c>
      <c r="O323" s="47">
        <f ca="1">IF(L323&gt;0,N323*100/L323,0)</f>
        <v>0</v>
      </c>
      <c r="P323" s="47">
        <f ca="1">IF(M323&gt;0,N323*100/M323,0)</f>
        <v>0</v>
      </c>
    </row>
    <row r="324" spans="1:16" ht="18.75" hidden="1" x14ac:dyDescent="0.25">
      <c r="A324" s="136"/>
      <c r="B324" s="41"/>
      <c r="C324" s="41"/>
      <c r="D324" s="41"/>
      <c r="E324" s="279" t="s">
        <v>34</v>
      </c>
      <c r="F324" s="41"/>
      <c r="G324" s="43"/>
      <c r="H324" s="146" t="s">
        <v>12</v>
      </c>
      <c r="I324" s="144"/>
      <c r="J324" s="144"/>
      <c r="K324" s="145"/>
      <c r="L324" s="50">
        <v>0</v>
      </c>
      <c r="M324" s="50">
        <v>0</v>
      </c>
      <c r="N324" s="50">
        <v>0</v>
      </c>
      <c r="O324" s="50">
        <f>IF(L324&gt;0,N324*100/L324,0)</f>
        <v>0</v>
      </c>
      <c r="P324" s="50">
        <f>IF(M324&gt;0,N324*100/M324,0)</f>
        <v>0</v>
      </c>
    </row>
    <row r="325" spans="1:16" ht="18.75" hidden="1" x14ac:dyDescent="0.25">
      <c r="A325" s="136"/>
      <c r="B325" s="41"/>
      <c r="C325" s="41"/>
      <c r="D325" s="41"/>
      <c r="E325" s="254" t="s">
        <v>35</v>
      </c>
      <c r="F325" s="41"/>
      <c r="G325" s="43"/>
      <c r="H325" s="143" t="s">
        <v>12</v>
      </c>
      <c r="I325" s="144"/>
      <c r="J325" s="144"/>
      <c r="K325" s="145"/>
      <c r="L325" s="47">
        <f ca="1">IFERROR(__xludf.DUMMYFUNCTION("IMPORTRANGE(""https://docs.google.com/spreadsheets/d/1-uDff_7J0KD5mKrp0Vvzr7lt3OU09vwQwhkpOPPYv2Y/edit?usp=sharing"",""งบพรบ!EI28"")"),0)</f>
        <v>0</v>
      </c>
      <c r="M325" s="47">
        <f ca="1">IFERROR(__xludf.DUMMYFUNCTION("IMPORTRANGE(""https://docs.google.com/spreadsheets/d/1-uDff_7J0KD5mKrp0Vvzr7lt3OU09vwQwhkpOPPYv2Y/edit?usp=sharing"",""งบพรบ!EN28"")"),0)</f>
        <v>0</v>
      </c>
      <c r="N325" s="47">
        <f ca="1">IFERROR(__xludf.DUMMYFUNCTION("IMPORTRANGE(""https://docs.google.com/spreadsheets/d/1-uDff_7J0KD5mKrp0Vvzr7lt3OU09vwQwhkpOPPYv2Y/edit?usp=sharing"",""งบพรบ!EP28"")"),0)</f>
        <v>0</v>
      </c>
      <c r="O325" s="47">
        <f ca="1">IF(L325&gt;0,N325*100/L325,0)</f>
        <v>0</v>
      </c>
      <c r="P325" s="47">
        <f ca="1">IF(M325&gt;0,N325*100/M325,0)</f>
        <v>0</v>
      </c>
    </row>
    <row r="326" spans="1:16" ht="18.75" hidden="1" x14ac:dyDescent="0.25">
      <c r="A326" s="136"/>
      <c r="B326" s="41"/>
      <c r="C326" s="41"/>
      <c r="D326" s="42" t="s">
        <v>21</v>
      </c>
      <c r="E326" s="41"/>
      <c r="F326" s="41"/>
      <c r="G326" s="43"/>
      <c r="H326" s="147" t="s">
        <v>12</v>
      </c>
      <c r="I326" s="144"/>
      <c r="J326" s="144"/>
      <c r="K326" s="145"/>
      <c r="L326" s="47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</row>
    <row r="327" spans="1:16" ht="18.75" hidden="1" x14ac:dyDescent="0.25">
      <c r="A327" s="136"/>
      <c r="B327" s="41"/>
      <c r="C327" s="41"/>
      <c r="D327" s="41"/>
      <c r="E327" s="279" t="s">
        <v>18</v>
      </c>
      <c r="F327" s="41"/>
      <c r="G327" s="43"/>
      <c r="H327" s="146" t="s">
        <v>12</v>
      </c>
      <c r="I327" s="144"/>
      <c r="J327" s="144"/>
      <c r="K327" s="145"/>
      <c r="L327" s="50">
        <v>0</v>
      </c>
      <c r="M327" s="50">
        <v>0</v>
      </c>
      <c r="N327" s="50">
        <v>0</v>
      </c>
      <c r="O327" s="50">
        <f>IF(L327&gt;0,N327*100/L327,0)</f>
        <v>0</v>
      </c>
      <c r="P327" s="50">
        <f>IF(M327&gt;0,N327*100/M327,0)</f>
        <v>0</v>
      </c>
    </row>
    <row r="328" spans="1:16" ht="18.75" hidden="1" x14ac:dyDescent="0.25">
      <c r="A328" s="136"/>
      <c r="B328" s="41"/>
      <c r="C328" s="41"/>
      <c r="D328" s="41"/>
      <c r="E328" s="254" t="s">
        <v>19</v>
      </c>
      <c r="F328" s="41"/>
      <c r="G328" s="43"/>
      <c r="H328" s="147" t="s">
        <v>12</v>
      </c>
      <c r="I328" s="144"/>
      <c r="J328" s="144"/>
      <c r="K328" s="145"/>
      <c r="L328" s="47">
        <f ca="1">IFERROR(__xludf.DUMMYFUNCTION("IMPORTRANGE(""https://docs.google.com/spreadsheets/d/1-uDff_7J0KD5mKrp0Vvzr7lt3OU09vwQwhkpOPPYv2Y/edit?usp=sharing"",""งบพรบ!EL28"")"),0)</f>
        <v>0</v>
      </c>
      <c r="M328" s="47">
        <f ca="1">IFERROR(__xludf.DUMMYFUNCTION("IMPORTRANGE(""https://docs.google.com/spreadsheets/d/1-uDff_7J0KD5mKrp0Vvzr7lt3OU09vwQwhkpOPPYv2Y/edit?usp=sharing"",""งบพรบ!EO28"")"),0)</f>
        <v>0</v>
      </c>
      <c r="N328" s="47">
        <f ca="1">IFERROR(__xludf.DUMMYFUNCTION("IMPORTRANGE(""https://docs.google.com/spreadsheets/d/1-uDff_7J0KD5mKrp0Vvzr7lt3OU09vwQwhkpOPPYv2Y/edit?usp=sharing"",""งบพรบ!EQ28"")"),0)</f>
        <v>0</v>
      </c>
      <c r="O328" s="47">
        <f ca="1">IF(L328&gt;0,N328*100/L328,0)</f>
        <v>0</v>
      </c>
      <c r="P328" s="47">
        <f ca="1">IF(M328&gt;0,N328*100/M328,0)</f>
        <v>0</v>
      </c>
    </row>
    <row r="329" spans="1:16" ht="19.5" hidden="1" x14ac:dyDescent="0.3">
      <c r="A329" s="148"/>
      <c r="B329" s="149"/>
      <c r="C329" s="197" t="s">
        <v>16</v>
      </c>
      <c r="D329" s="395" t="s">
        <v>36</v>
      </c>
      <c r="E329" s="151"/>
      <c r="F329" s="151"/>
      <c r="G329" s="152"/>
      <c r="H329" s="153"/>
      <c r="I329" s="144"/>
      <c r="J329" s="45"/>
      <c r="K329" s="46"/>
      <c r="L329" s="46"/>
      <c r="M329" s="46"/>
      <c r="N329" s="46"/>
      <c r="O329" s="145"/>
      <c r="P329" s="145"/>
    </row>
    <row r="330" spans="1:16" ht="18.75" hidden="1" x14ac:dyDescent="0.25">
      <c r="A330" s="148"/>
      <c r="B330" s="149"/>
      <c r="C330" s="149"/>
      <c r="D330" s="154" t="s">
        <v>128</v>
      </c>
      <c r="E330" s="155"/>
      <c r="F330" s="155"/>
      <c r="G330" s="153"/>
      <c r="H330" s="44" t="s">
        <v>127</v>
      </c>
      <c r="I330" s="169">
        <f ca="1">IFERROR(__xludf.DUMMYFUNCTION("IMPORTRANGE(""https://docs.google.com/spreadsheets/d/1eHaY18a8A9IcSdp1K8H6x8fbOy06t2VsZHhMHf-1x7Y/edit?usp=sharing"",""แผน!EJ28"")"),0)</f>
        <v>0</v>
      </c>
      <c r="J330" s="250">
        <v>0</v>
      </c>
      <c r="K330" s="47">
        <f ca="1">IF(I330&gt;0,J330*100/I330,0)</f>
        <v>0</v>
      </c>
      <c r="L330" s="46"/>
      <c r="M330" s="46"/>
      <c r="N330" s="46"/>
      <c r="O330" s="145"/>
      <c r="P330" s="145"/>
    </row>
    <row r="331" spans="1:16" ht="19.5" x14ac:dyDescent="0.3">
      <c r="A331" s="317" t="s">
        <v>129</v>
      </c>
      <c r="B331" s="318"/>
      <c r="C331" s="318"/>
      <c r="D331" s="319"/>
      <c r="E331" s="318"/>
      <c r="F331" s="318"/>
      <c r="G331" s="318"/>
      <c r="H331" s="319"/>
      <c r="I331" s="321"/>
      <c r="J331" s="321"/>
      <c r="K331" s="322"/>
      <c r="L331" s="322"/>
      <c r="M331" s="322"/>
      <c r="N331" s="322"/>
      <c r="O331" s="322"/>
      <c r="P331" s="322"/>
    </row>
    <row r="332" spans="1:16" ht="19.5" x14ac:dyDescent="0.3">
      <c r="A332" s="323"/>
      <c r="B332" s="324" t="s">
        <v>130</v>
      </c>
      <c r="C332" s="333"/>
      <c r="D332" s="325"/>
      <c r="E332" s="325"/>
      <c r="F332" s="325"/>
      <c r="G332" s="326"/>
      <c r="H332" s="327" t="s">
        <v>33</v>
      </c>
      <c r="I332" s="334">
        <f ca="1">I344</f>
        <v>3740</v>
      </c>
      <c r="J332" s="335">
        <f ca="1">J344+J347+J348+J349+J353</f>
        <v>347</v>
      </c>
      <c r="K332" s="336">
        <f ca="1">IF(I332&gt;0,J332*100/I332,0)</f>
        <v>9.2780748663101598</v>
      </c>
      <c r="L332" s="330"/>
      <c r="M332" s="330"/>
      <c r="N332" s="330"/>
      <c r="O332" s="330"/>
      <c r="P332" s="330"/>
    </row>
    <row r="333" spans="1:16" ht="19.5" x14ac:dyDescent="0.3">
      <c r="A333" s="136"/>
      <c r="B333" s="41"/>
      <c r="C333" s="197" t="s">
        <v>16</v>
      </c>
      <c r="D333" s="397" t="s">
        <v>17</v>
      </c>
      <c r="E333" s="41"/>
      <c r="F333" s="41"/>
      <c r="G333" s="43"/>
      <c r="H333" s="139" t="s">
        <v>12</v>
      </c>
      <c r="I333" s="45"/>
      <c r="J333" s="45"/>
      <c r="K333" s="46"/>
      <c r="L333" s="140">
        <f ca="1">L334+L335</f>
        <v>116000</v>
      </c>
      <c r="M333" s="140">
        <f ca="1">M334+M335</f>
        <v>90550</v>
      </c>
      <c r="N333" s="140">
        <f ca="1">N334+N335</f>
        <v>13000</v>
      </c>
      <c r="O333" s="140">
        <f ca="1">IF(L333&gt;0,N333*100/L333,0)</f>
        <v>11.206896551724139</v>
      </c>
      <c r="P333" s="140">
        <f ca="1">IF(M333&gt;0,N333*100/M333,0)</f>
        <v>14.356709000552181</v>
      </c>
    </row>
    <row r="334" spans="1:16" ht="18.75" hidden="1" x14ac:dyDescent="0.25">
      <c r="A334" s="136"/>
      <c r="B334" s="41"/>
      <c r="C334" s="41"/>
      <c r="D334" s="41"/>
      <c r="E334" s="279" t="s">
        <v>18</v>
      </c>
      <c r="F334" s="41"/>
      <c r="G334" s="43"/>
      <c r="H334" s="141" t="s">
        <v>12</v>
      </c>
      <c r="I334" s="45"/>
      <c r="J334" s="45"/>
      <c r="K334" s="46"/>
      <c r="L334" s="50">
        <f>L337+L340</f>
        <v>0</v>
      </c>
      <c r="M334" s="50">
        <f>M337+M340</f>
        <v>0</v>
      </c>
      <c r="N334" s="50">
        <f>N337+N340</f>
        <v>0</v>
      </c>
      <c r="O334" s="50">
        <f>IF(L334&gt;0,N334*100/L334,0)</f>
        <v>0</v>
      </c>
      <c r="P334" s="50">
        <f>IF(M334&gt;0,N334*100/M334,0)</f>
        <v>0</v>
      </c>
    </row>
    <row r="335" spans="1:16" ht="18.75" x14ac:dyDescent="0.25">
      <c r="A335" s="136"/>
      <c r="B335" s="41"/>
      <c r="C335" s="41"/>
      <c r="D335" s="41"/>
      <c r="E335" s="254" t="s">
        <v>19</v>
      </c>
      <c r="F335" s="41"/>
      <c r="G335" s="43"/>
      <c r="H335" s="142" t="s">
        <v>12</v>
      </c>
      <c r="I335" s="45"/>
      <c r="J335" s="45"/>
      <c r="K335" s="46"/>
      <c r="L335" s="47">
        <f ca="1">L338+L341</f>
        <v>116000</v>
      </c>
      <c r="M335" s="47">
        <f ca="1">M338+M341</f>
        <v>90550</v>
      </c>
      <c r="N335" s="47">
        <f ca="1">N338+N341</f>
        <v>13000</v>
      </c>
      <c r="O335" s="47">
        <f ca="1">IF(L335&gt;0,N335*100/L335,0)</f>
        <v>11.206896551724139</v>
      </c>
      <c r="P335" s="47">
        <f ca="1">IF(M335&gt;0,N335*100/M335,0)</f>
        <v>14.356709000552181</v>
      </c>
    </row>
    <row r="336" spans="1:16" ht="18.75" x14ac:dyDescent="0.25">
      <c r="A336" s="136"/>
      <c r="B336" s="41"/>
      <c r="C336" s="41"/>
      <c r="D336" s="42" t="s">
        <v>20</v>
      </c>
      <c r="E336" s="41"/>
      <c r="F336" s="41"/>
      <c r="G336" s="43"/>
      <c r="H336" s="143" t="s">
        <v>12</v>
      </c>
      <c r="I336" s="144"/>
      <c r="J336" s="144"/>
      <c r="K336" s="145"/>
      <c r="L336" s="47">
        <f ca="1">L337+L338</f>
        <v>116000</v>
      </c>
      <c r="M336" s="47">
        <f ca="1">M337+M338</f>
        <v>90550</v>
      </c>
      <c r="N336" s="47">
        <f ca="1">N337+N338</f>
        <v>13000</v>
      </c>
      <c r="O336" s="47">
        <f ca="1">IF(L336&gt;0,N336*100/L336,0)</f>
        <v>11.206896551724139</v>
      </c>
      <c r="P336" s="47">
        <f ca="1">IF(M336&gt;0,N336*100/M336,0)</f>
        <v>14.356709000552181</v>
      </c>
    </row>
    <row r="337" spans="1:16" ht="18.75" hidden="1" x14ac:dyDescent="0.25">
      <c r="A337" s="136"/>
      <c r="B337" s="41"/>
      <c r="C337" s="41"/>
      <c r="D337" s="41"/>
      <c r="E337" s="279" t="s">
        <v>34</v>
      </c>
      <c r="F337" s="41"/>
      <c r="G337" s="43"/>
      <c r="H337" s="146" t="s">
        <v>12</v>
      </c>
      <c r="I337" s="144"/>
      <c r="J337" s="144"/>
      <c r="K337" s="145"/>
      <c r="L337" s="50">
        <v>0</v>
      </c>
      <c r="M337" s="50">
        <v>0</v>
      </c>
      <c r="N337" s="50">
        <v>0</v>
      </c>
      <c r="O337" s="50">
        <f>IF(L337&gt;0,N337*100/L337,0)</f>
        <v>0</v>
      </c>
      <c r="P337" s="50">
        <f>IF(M337&gt;0,N337*100/M337,0)</f>
        <v>0</v>
      </c>
    </row>
    <row r="338" spans="1:16" ht="18.75" x14ac:dyDescent="0.25">
      <c r="A338" s="136"/>
      <c r="B338" s="41"/>
      <c r="C338" s="41"/>
      <c r="D338" s="41"/>
      <c r="E338" s="254" t="s">
        <v>35</v>
      </c>
      <c r="F338" s="41"/>
      <c r="G338" s="43"/>
      <c r="H338" s="143" t="s">
        <v>12</v>
      </c>
      <c r="I338" s="144"/>
      <c r="J338" s="144"/>
      <c r="K338" s="145"/>
      <c r="L338" s="47">
        <f ca="1">IFERROR(__xludf.DUMMYFUNCTION("IMPORTRANGE(""https://docs.google.com/spreadsheets/d/1-uDff_7J0KD5mKrp0Vvzr7lt3OU09vwQwhkpOPPYv2Y/edit?usp=sharing"",""งบพรบ!ES28"")"),116000)</f>
        <v>116000</v>
      </c>
      <c r="M338" s="47">
        <f ca="1">IFERROR(__xludf.DUMMYFUNCTION("IMPORTRANGE(""https://docs.google.com/spreadsheets/d/1-uDff_7J0KD5mKrp0Vvzr7lt3OU09vwQwhkpOPPYv2Y/edit?usp=sharing"",""งบพรบ!EX28"")"),90550)</f>
        <v>90550</v>
      </c>
      <c r="N338" s="47">
        <f ca="1">IFERROR(__xludf.DUMMYFUNCTION("IMPORTRANGE(""https://docs.google.com/spreadsheets/d/1-uDff_7J0KD5mKrp0Vvzr7lt3OU09vwQwhkpOPPYv2Y/edit?usp=sharing"",""งบพรบ!EZ28"")"),13000)</f>
        <v>13000</v>
      </c>
      <c r="O338" s="47">
        <f ca="1">IF(L338&gt;0,N338*100/L338,0)</f>
        <v>11.206896551724139</v>
      </c>
      <c r="P338" s="47">
        <f ca="1">IF(M338&gt;0,N338*100/M338,0)</f>
        <v>14.356709000552181</v>
      </c>
    </row>
    <row r="339" spans="1:16" ht="18.75" x14ac:dyDescent="0.25">
      <c r="A339" s="136"/>
      <c r="B339" s="41"/>
      <c r="C339" s="41"/>
      <c r="D339" s="42" t="s">
        <v>21</v>
      </c>
      <c r="E339" s="41"/>
      <c r="F339" s="41"/>
      <c r="G339" s="43"/>
      <c r="H339" s="147" t="s">
        <v>12</v>
      </c>
      <c r="I339" s="144"/>
      <c r="J339" s="144"/>
      <c r="K339" s="145"/>
      <c r="L339" s="47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</row>
    <row r="340" spans="1:16" ht="18.75" hidden="1" x14ac:dyDescent="0.25">
      <c r="A340" s="136"/>
      <c r="B340" s="41"/>
      <c r="C340" s="41"/>
      <c r="D340" s="41"/>
      <c r="E340" s="279" t="s">
        <v>18</v>
      </c>
      <c r="F340" s="41"/>
      <c r="G340" s="43"/>
      <c r="H340" s="146" t="s">
        <v>12</v>
      </c>
      <c r="I340" s="144"/>
      <c r="J340" s="144"/>
      <c r="K340" s="145"/>
      <c r="L340" s="50">
        <v>0</v>
      </c>
      <c r="M340" s="50">
        <v>0</v>
      </c>
      <c r="N340" s="50">
        <v>0</v>
      </c>
      <c r="O340" s="50">
        <f>IF(L340&gt;0,N340*100/L340,0)</f>
        <v>0</v>
      </c>
      <c r="P340" s="50">
        <f>IF(M340&gt;0,N340*100/M340,0)</f>
        <v>0</v>
      </c>
    </row>
    <row r="341" spans="1:16" ht="18.75" x14ac:dyDescent="0.25">
      <c r="A341" s="136"/>
      <c r="B341" s="41"/>
      <c r="C341" s="41"/>
      <c r="D341" s="41"/>
      <c r="E341" s="254" t="s">
        <v>19</v>
      </c>
      <c r="F341" s="41"/>
      <c r="G341" s="43"/>
      <c r="H341" s="147" t="s">
        <v>12</v>
      </c>
      <c r="I341" s="144"/>
      <c r="J341" s="144"/>
      <c r="K341" s="145"/>
      <c r="L341" s="47">
        <f ca="1">IFERROR(__xludf.DUMMYFUNCTION("IMPORTRANGE(""https://docs.google.com/spreadsheets/d/1-uDff_7J0KD5mKrp0Vvzr7lt3OU09vwQwhkpOPPYv2Y/edit?usp=sharing"",""งบพรบ!EV28"")"),0)</f>
        <v>0</v>
      </c>
      <c r="M341" s="47">
        <f ca="1">IFERROR(__xludf.DUMMYFUNCTION("IMPORTRANGE(""https://docs.google.com/spreadsheets/d/1-uDff_7J0KD5mKrp0Vvzr7lt3OU09vwQwhkpOPPYv2Y/edit?usp=sharing"",""งบพรบ!EY28"")"),0)</f>
        <v>0</v>
      </c>
      <c r="N341" s="47">
        <f ca="1">IFERROR(__xludf.DUMMYFUNCTION("IMPORTRANGE(""https://docs.google.com/spreadsheets/d/1-uDff_7J0KD5mKrp0Vvzr7lt3OU09vwQwhkpOPPYv2Y/edit?usp=sharing"",""งบพรบ!FA28"")"),0)</f>
        <v>0</v>
      </c>
      <c r="O341" s="47">
        <f ca="1">IF(L341&gt;0,N341*100/L341,0)</f>
        <v>0</v>
      </c>
      <c r="P341" s="47">
        <f ca="1">IF(M341&gt;0,N341*100/M341,0)</f>
        <v>0</v>
      </c>
    </row>
    <row r="342" spans="1:16" ht="19.5" x14ac:dyDescent="0.3">
      <c r="A342" s="148"/>
      <c r="B342" s="149"/>
      <c r="C342" s="197" t="s">
        <v>16</v>
      </c>
      <c r="D342" s="221" t="s">
        <v>36</v>
      </c>
      <c r="E342" s="151"/>
      <c r="F342" s="151"/>
      <c r="G342" s="152"/>
      <c r="H342" s="43"/>
      <c r="I342" s="45"/>
      <c r="J342" s="45"/>
      <c r="K342" s="46"/>
      <c r="L342" s="46"/>
      <c r="M342" s="46"/>
      <c r="N342" s="46"/>
      <c r="O342" s="145"/>
      <c r="P342" s="145"/>
    </row>
    <row r="343" spans="1:16" ht="19.5" x14ac:dyDescent="0.3">
      <c r="A343" s="337"/>
      <c r="B343" s="338"/>
      <c r="C343" s="339"/>
      <c r="D343" s="338"/>
      <c r="E343" s="398" t="s">
        <v>131</v>
      </c>
      <c r="F343" s="338"/>
      <c r="G343" s="341"/>
      <c r="H343" s="342" t="s">
        <v>33</v>
      </c>
      <c r="I343" s="343">
        <v>0</v>
      </c>
      <c r="J343" s="343">
        <f ca="1">J344+J347+J348+J349</f>
        <v>238</v>
      </c>
      <c r="K343" s="344">
        <v>0</v>
      </c>
      <c r="L343" s="345"/>
      <c r="M343" s="345"/>
      <c r="N343" s="345"/>
      <c r="O343" s="345"/>
      <c r="P343" s="345"/>
    </row>
    <row r="344" spans="1:16" ht="18.75" x14ac:dyDescent="0.25">
      <c r="A344" s="227"/>
      <c r="B344" s="41"/>
      <c r="C344" s="228"/>
      <c r="D344" s="155"/>
      <c r="E344" s="159" t="s">
        <v>132</v>
      </c>
      <c r="F344" s="41"/>
      <c r="G344" s="43"/>
      <c r="H344" s="230" t="s">
        <v>33</v>
      </c>
      <c r="I344" s="169">
        <f ca="1">IFERROR(__xludf.DUMMYFUNCTION("IMPORTRANGE(""https://docs.google.com/spreadsheets/d/1eHaY18a8A9IcSdp1K8H6x8fbOy06t2VsZHhMHf-1x7Y/edit?usp=sharing"",""แผน!EK28"")"),3740)</f>
        <v>3740</v>
      </c>
      <c r="J344" s="169">
        <f ca="1">IFERROR(__xludf.DUMMYFUNCTION("IMPORTRANGE(""https://docs.google.com/spreadsheets/d/1awYsYK3VOup2i3Pq_Yjnu8DRu_mYwSBnCR2QPthd0rU/edit?usp=sharing"",""ศูนย์ยกเว้นโฉนด!D28"")"),200)</f>
        <v>200</v>
      </c>
      <c r="K344" s="47">
        <f ca="1">IF(I344&gt;0,J344*100/I344,0)</f>
        <v>5.3475935828877006</v>
      </c>
      <c r="L344" s="46"/>
      <c r="M344" s="46"/>
      <c r="N344" s="46"/>
      <c r="O344" s="46"/>
      <c r="P344" s="46"/>
    </row>
    <row r="345" spans="1:16" ht="18.75" x14ac:dyDescent="0.25">
      <c r="A345" s="227"/>
      <c r="B345" s="41"/>
      <c r="C345" s="228"/>
      <c r="D345" s="155"/>
      <c r="E345" s="159" t="s">
        <v>133</v>
      </c>
      <c r="F345" s="41"/>
      <c r="G345" s="43"/>
      <c r="H345" s="346"/>
      <c r="I345" s="45"/>
      <c r="J345" s="45"/>
      <c r="K345" s="46"/>
      <c r="L345" s="46"/>
      <c r="M345" s="46"/>
      <c r="N345" s="46"/>
      <c r="O345" s="46"/>
      <c r="P345" s="46"/>
    </row>
    <row r="346" spans="1:16" ht="18.75" x14ac:dyDescent="0.25">
      <c r="A346" s="227"/>
      <c r="B346" s="41"/>
      <c r="C346" s="228"/>
      <c r="D346" s="155"/>
      <c r="E346" s="155"/>
      <c r="F346" s="159" t="s">
        <v>134</v>
      </c>
      <c r="G346" s="43"/>
      <c r="H346" s="347" t="s">
        <v>135</v>
      </c>
      <c r="I346" s="169">
        <f ca="1">IFERROR(__xludf.DUMMYFUNCTION("IMPORTRANGE(""https://docs.google.com/spreadsheets/d/1eHaY18a8A9IcSdp1K8H6x8fbOy06t2VsZHhMHf-1x7Y/edit?usp=sharing"",""แผน!EL28"")"),5)</f>
        <v>5</v>
      </c>
      <c r="J346" s="169">
        <f ca="1">IFERROR(__xludf.DUMMYFUNCTION("IMPORTRANGE(""https://docs.google.com/spreadsheets/d/1awYsYK3VOup2i3Pq_Yjnu8DRu_mYwSBnCR2QPthd0rU/edit?usp=sharing"",""ศูนย์รวม!E28"")"),2)</f>
        <v>2</v>
      </c>
      <c r="K346" s="47">
        <f ca="1">IF(I346&gt;0,J346*100/I346,0)</f>
        <v>40</v>
      </c>
      <c r="L346" s="46"/>
      <c r="M346" s="46"/>
      <c r="N346" s="46"/>
      <c r="O346" s="46"/>
      <c r="P346" s="46"/>
    </row>
    <row r="347" spans="1:16" ht="18.75" x14ac:dyDescent="0.25">
      <c r="A347" s="227"/>
      <c r="B347" s="41"/>
      <c r="C347" s="228"/>
      <c r="D347" s="155"/>
      <c r="E347" s="155"/>
      <c r="F347" s="159" t="s">
        <v>136</v>
      </c>
      <c r="G347" s="43"/>
      <c r="H347" s="347" t="s">
        <v>33</v>
      </c>
      <c r="I347" s="45"/>
      <c r="J347" s="169">
        <f ca="1">IFERROR(__xludf.DUMMYFUNCTION("IMPORTRANGE(""https://docs.google.com/spreadsheets/d/1awYsYK3VOup2i3Pq_Yjnu8DRu_mYwSBnCR2QPthd0rU/edit?usp=sharing"",""ศูนย์ยกเว้นโฉนด!F28"")"),36)</f>
        <v>36</v>
      </c>
      <c r="K347" s="46"/>
      <c r="L347" s="46"/>
      <c r="M347" s="46"/>
      <c r="N347" s="46"/>
      <c r="O347" s="46"/>
      <c r="P347" s="46"/>
    </row>
    <row r="348" spans="1:16" ht="18.75" x14ac:dyDescent="0.25">
      <c r="A348" s="227"/>
      <c r="B348" s="41"/>
      <c r="C348" s="228"/>
      <c r="D348" s="155"/>
      <c r="E348" s="159" t="s">
        <v>137</v>
      </c>
      <c r="F348" s="155"/>
      <c r="G348" s="43"/>
      <c r="H348" s="347" t="s">
        <v>33</v>
      </c>
      <c r="I348" s="45"/>
      <c r="J348" s="169">
        <f ca="1">IFERROR(__xludf.DUMMYFUNCTION("IMPORTRANGE(""https://docs.google.com/spreadsheets/d/1awYsYK3VOup2i3Pq_Yjnu8DRu_mYwSBnCR2QPthd0rU/edit?usp=sharing"",""ศูนย์ยกเว้นโฉนด!G28"")"),2)</f>
        <v>2</v>
      </c>
      <c r="K348" s="46"/>
      <c r="L348" s="46"/>
      <c r="M348" s="46"/>
      <c r="N348" s="46"/>
      <c r="O348" s="46"/>
      <c r="P348" s="46"/>
    </row>
    <row r="349" spans="1:16" ht="18.75" x14ac:dyDescent="0.25">
      <c r="A349" s="227"/>
      <c r="B349" s="41"/>
      <c r="C349" s="228"/>
      <c r="D349" s="149"/>
      <c r="E349" s="159" t="s">
        <v>138</v>
      </c>
      <c r="F349" s="155"/>
      <c r="G349" s="43"/>
      <c r="H349" s="347" t="s">
        <v>33</v>
      </c>
      <c r="I349" s="45"/>
      <c r="J349" s="169">
        <f ca="1">IFERROR(__xludf.DUMMYFUNCTION("IMPORTRANGE(""https://docs.google.com/spreadsheets/d/1awYsYK3VOup2i3Pq_Yjnu8DRu_mYwSBnCR2QPthd0rU/edit?usp=sharing"",""ศูนย์ยกเว้นโฉนด!H28"")"),0)</f>
        <v>0</v>
      </c>
      <c r="K349" s="46"/>
      <c r="L349" s="46"/>
      <c r="M349" s="46"/>
      <c r="N349" s="46"/>
      <c r="O349" s="46"/>
      <c r="P349" s="46"/>
    </row>
    <row r="350" spans="1:16" ht="16.5" x14ac:dyDescent="0.25">
      <c r="A350" s="228"/>
      <c r="B350" s="41"/>
      <c r="C350" s="228"/>
      <c r="D350" s="34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1"/>
      <c r="F350" s="41"/>
      <c r="G350" s="43"/>
      <c r="H350" s="346"/>
      <c r="I350" s="45"/>
      <c r="J350" s="45"/>
      <c r="K350" s="46"/>
      <c r="L350" s="46"/>
      <c r="M350" s="46"/>
      <c r="N350" s="46"/>
      <c r="O350" s="46"/>
      <c r="P350" s="46"/>
    </row>
    <row r="351" spans="1:16" ht="19.5" x14ac:dyDescent="0.3">
      <c r="A351" s="233"/>
      <c r="B351" s="236"/>
      <c r="C351" s="234"/>
      <c r="D351" s="236"/>
      <c r="E351" s="396" t="s">
        <v>139</v>
      </c>
      <c r="F351" s="236"/>
      <c r="G351" s="237"/>
      <c r="H351" s="238" t="s">
        <v>33</v>
      </c>
      <c r="I351" s="239">
        <v>0</v>
      </c>
      <c r="J351" s="239">
        <f ca="1">J352+J353</f>
        <v>901</v>
      </c>
      <c r="K351" s="240">
        <v>0</v>
      </c>
      <c r="L351" s="241"/>
      <c r="M351" s="241"/>
      <c r="N351" s="241"/>
      <c r="O351" s="241"/>
      <c r="P351" s="241"/>
    </row>
    <row r="352" spans="1:16" ht="18.75" x14ac:dyDescent="0.25">
      <c r="A352" s="228"/>
      <c r="B352" s="41"/>
      <c r="C352" s="228"/>
      <c r="D352" s="155"/>
      <c r="E352" s="159" t="s">
        <v>140</v>
      </c>
      <c r="F352" s="41"/>
      <c r="G352" s="43"/>
      <c r="H352" s="142" t="s">
        <v>33</v>
      </c>
      <c r="I352" s="45"/>
      <c r="J352" s="169">
        <f ca="1">IFERROR(__xludf.DUMMYFUNCTION("IMPORTRANGE(""https://docs.google.com/spreadsheets/d/1awYsYK3VOup2i3Pq_Yjnu8DRu_mYwSBnCR2QPthd0rU/edit?usp=sharing"",""โฉนดM3!G28"")"),792)</f>
        <v>792</v>
      </c>
      <c r="K352" s="46"/>
      <c r="L352" s="46"/>
      <c r="M352" s="46"/>
      <c r="N352" s="46"/>
      <c r="O352" s="46"/>
      <c r="P352" s="46"/>
    </row>
    <row r="353" spans="1:16" ht="18.75" x14ac:dyDescent="0.25">
      <c r="A353" s="228"/>
      <c r="B353" s="41"/>
      <c r="C353" s="228"/>
      <c r="D353" s="155"/>
      <c r="E353" s="159" t="s">
        <v>141</v>
      </c>
      <c r="F353" s="41"/>
      <c r="G353" s="43"/>
      <c r="H353" s="142" t="s">
        <v>33</v>
      </c>
      <c r="I353" s="45"/>
      <c r="J353" s="169">
        <f ca="1">IFERROR(__xludf.DUMMYFUNCTION("IMPORTRANGE(""https://docs.google.com/spreadsheets/d/1awYsYK3VOup2i3Pq_Yjnu8DRu_mYwSBnCR2QPthd0rU/edit?usp=sharing"",""โฉนดM3!H28"")"),109)</f>
        <v>109</v>
      </c>
      <c r="K353" s="46"/>
      <c r="L353" s="46"/>
      <c r="M353" s="46"/>
      <c r="N353" s="46"/>
      <c r="O353" s="46"/>
      <c r="P353" s="46"/>
    </row>
    <row r="354" spans="1:16" ht="16.5" x14ac:dyDescent="0.25">
      <c r="A354" s="228"/>
      <c r="B354" s="41"/>
      <c r="C354" s="228"/>
      <c r="D354" s="34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1"/>
      <c r="F354" s="41"/>
      <c r="G354" s="43"/>
      <c r="H354" s="346"/>
      <c r="I354" s="45"/>
      <c r="J354" s="45"/>
      <c r="K354" s="46"/>
      <c r="L354" s="46"/>
      <c r="M354" s="46"/>
      <c r="N354" s="46"/>
      <c r="O354" s="46"/>
      <c r="P354" s="46"/>
    </row>
    <row r="355" spans="1:16" ht="19.5" x14ac:dyDescent="0.3">
      <c r="A355" s="323"/>
      <c r="B355" s="324" t="s">
        <v>142</v>
      </c>
      <c r="C355" s="333"/>
      <c r="D355" s="325"/>
      <c r="E355" s="325"/>
      <c r="F355" s="325"/>
      <c r="G355" s="326"/>
      <c r="H355" s="326"/>
      <c r="I355" s="350"/>
      <c r="J355" s="350"/>
      <c r="K355" s="330"/>
      <c r="L355" s="330"/>
      <c r="M355" s="330"/>
      <c r="N355" s="330"/>
      <c r="O355" s="330"/>
      <c r="P355" s="330"/>
    </row>
    <row r="356" spans="1:16" ht="19.5" x14ac:dyDescent="0.3">
      <c r="A356" s="136"/>
      <c r="B356" s="41"/>
      <c r="C356" s="197" t="s">
        <v>16</v>
      </c>
      <c r="D356" s="397" t="s">
        <v>17</v>
      </c>
      <c r="E356" s="41"/>
      <c r="F356" s="41"/>
      <c r="G356" s="43"/>
      <c r="H356" s="139" t="s">
        <v>12</v>
      </c>
      <c r="I356" s="45"/>
      <c r="J356" s="45"/>
      <c r="K356" s="46"/>
      <c r="L356" s="140">
        <f ca="1">L357+L358</f>
        <v>700725</v>
      </c>
      <c r="M356" s="140">
        <f ca="1">M357+M358</f>
        <v>558125</v>
      </c>
      <c r="N356" s="140">
        <f ca="1">N357+N358</f>
        <v>101940</v>
      </c>
      <c r="O356" s="140">
        <f ca="1">IF(L356&gt;0,N356*100/L356,0)</f>
        <v>14.547789789146956</v>
      </c>
      <c r="P356" s="140">
        <f ca="1">IF(M356&gt;0,N356*100/M356,0)</f>
        <v>18.264725643896977</v>
      </c>
    </row>
    <row r="357" spans="1:16" ht="18.75" hidden="1" x14ac:dyDescent="0.25">
      <c r="A357" s="136"/>
      <c r="B357" s="41"/>
      <c r="C357" s="41"/>
      <c r="D357" s="41"/>
      <c r="E357" s="279" t="s">
        <v>18</v>
      </c>
      <c r="F357" s="41"/>
      <c r="G357" s="43"/>
      <c r="H357" s="141" t="s">
        <v>12</v>
      </c>
      <c r="I357" s="45"/>
      <c r="J357" s="45"/>
      <c r="K357" s="46"/>
      <c r="L357" s="50">
        <f>L360+L363</f>
        <v>0</v>
      </c>
      <c r="M357" s="50">
        <f>M360+M363</f>
        <v>0</v>
      </c>
      <c r="N357" s="50">
        <f>N360+N363</f>
        <v>0</v>
      </c>
      <c r="O357" s="50">
        <f>IF(L357&gt;0,N357*100/L357,0)</f>
        <v>0</v>
      </c>
      <c r="P357" s="50">
        <f>IF(M357&gt;0,N357*100/M357,0)</f>
        <v>0</v>
      </c>
    </row>
    <row r="358" spans="1:16" ht="18.75" x14ac:dyDescent="0.25">
      <c r="A358" s="136"/>
      <c r="B358" s="41"/>
      <c r="C358" s="41"/>
      <c r="D358" s="41"/>
      <c r="E358" s="254" t="s">
        <v>19</v>
      </c>
      <c r="F358" s="41"/>
      <c r="G358" s="43"/>
      <c r="H358" s="142" t="s">
        <v>12</v>
      </c>
      <c r="I358" s="45"/>
      <c r="J358" s="45"/>
      <c r="K358" s="46"/>
      <c r="L358" s="47">
        <f ca="1">L361+L364</f>
        <v>700725</v>
      </c>
      <c r="M358" s="47">
        <f ca="1">M361+M364</f>
        <v>558125</v>
      </c>
      <c r="N358" s="47">
        <f ca="1">N361+N364</f>
        <v>101940</v>
      </c>
      <c r="O358" s="47">
        <f ca="1">IF(L358&gt;0,N358*100/L358,0)</f>
        <v>14.547789789146956</v>
      </c>
      <c r="P358" s="47">
        <f ca="1">IF(M358&gt;0,N358*100/M358,0)</f>
        <v>18.264725643896977</v>
      </c>
    </row>
    <row r="359" spans="1:16" ht="18.75" x14ac:dyDescent="0.25">
      <c r="A359" s="136"/>
      <c r="B359" s="41"/>
      <c r="C359" s="41"/>
      <c r="D359" s="42" t="s">
        <v>20</v>
      </c>
      <c r="E359" s="41"/>
      <c r="F359" s="41"/>
      <c r="G359" s="43"/>
      <c r="H359" s="143" t="s">
        <v>12</v>
      </c>
      <c r="I359" s="144"/>
      <c r="J359" s="144"/>
      <c r="K359" s="145"/>
      <c r="L359" s="47">
        <f ca="1">L360+L361</f>
        <v>700725</v>
      </c>
      <c r="M359" s="47">
        <f ca="1">M360+M361</f>
        <v>558125</v>
      </c>
      <c r="N359" s="47">
        <f ca="1">N360+N361</f>
        <v>101940</v>
      </c>
      <c r="O359" s="47">
        <f ca="1">IF(L359&gt;0,N359*100/L359,0)</f>
        <v>14.547789789146956</v>
      </c>
      <c r="P359" s="47">
        <f ca="1">IF(M359&gt;0,N359*100/M359,0)</f>
        <v>18.264725643896977</v>
      </c>
    </row>
    <row r="360" spans="1:16" ht="18.75" hidden="1" x14ac:dyDescent="0.25">
      <c r="A360" s="136"/>
      <c r="B360" s="41"/>
      <c r="C360" s="41"/>
      <c r="D360" s="41"/>
      <c r="E360" s="279" t="s">
        <v>34</v>
      </c>
      <c r="F360" s="41"/>
      <c r="G360" s="43"/>
      <c r="H360" s="146" t="s">
        <v>12</v>
      </c>
      <c r="I360" s="144"/>
      <c r="J360" s="144"/>
      <c r="K360" s="145"/>
      <c r="L360" s="50">
        <v>0</v>
      </c>
      <c r="M360" s="50">
        <v>0</v>
      </c>
      <c r="N360" s="50">
        <v>0</v>
      </c>
      <c r="O360" s="50">
        <f>IF(L360&gt;0,N360*100/L360,0)</f>
        <v>0</v>
      </c>
      <c r="P360" s="50">
        <f>IF(M360&gt;0,N360*100/M360,0)</f>
        <v>0</v>
      </c>
    </row>
    <row r="361" spans="1:16" ht="18.75" x14ac:dyDescent="0.25">
      <c r="A361" s="136"/>
      <c r="B361" s="41"/>
      <c r="C361" s="41"/>
      <c r="D361" s="41"/>
      <c r="E361" s="254" t="s">
        <v>35</v>
      </c>
      <c r="F361" s="41"/>
      <c r="G361" s="43"/>
      <c r="H361" s="143" t="s">
        <v>12</v>
      </c>
      <c r="I361" s="144"/>
      <c r="J361" s="144"/>
      <c r="K361" s="145"/>
      <c r="L361" s="47">
        <f ca="1">IFERROR(__xludf.DUMMYFUNCTION("IMPORTRANGE(""https://docs.google.com/spreadsheets/d/1-uDff_7J0KD5mKrp0Vvzr7lt3OU09vwQwhkpOPPYv2Y/edit?usp=sharing"",""งบพรบ!FC28"")"),700725)</f>
        <v>700725</v>
      </c>
      <c r="M361" s="47">
        <f ca="1">IFERROR(__xludf.DUMMYFUNCTION("IMPORTRANGE(""https://docs.google.com/spreadsheets/d/1-uDff_7J0KD5mKrp0Vvzr7lt3OU09vwQwhkpOPPYv2Y/edit?usp=sharing"",""งบพรบ!FH28"")"),558125)</f>
        <v>558125</v>
      </c>
      <c r="N361" s="47">
        <f ca="1">IFERROR(__xludf.DUMMYFUNCTION("IMPORTRANGE(""https://docs.google.com/spreadsheets/d/1-uDff_7J0KD5mKrp0Vvzr7lt3OU09vwQwhkpOPPYv2Y/edit?usp=sharing"",""งบพรบ!FJ28"")"),101940)</f>
        <v>101940</v>
      </c>
      <c r="O361" s="47">
        <f ca="1">IF(L361&gt;0,N361*100/L361,0)</f>
        <v>14.547789789146956</v>
      </c>
      <c r="P361" s="47">
        <f ca="1">IF(M361&gt;0,N361*100/M361,0)</f>
        <v>18.264725643896977</v>
      </c>
    </row>
    <row r="362" spans="1:16" ht="18.75" x14ac:dyDescent="0.25">
      <c r="A362" s="136"/>
      <c r="B362" s="41"/>
      <c r="C362" s="41"/>
      <c r="D362" s="42" t="s">
        <v>21</v>
      </c>
      <c r="E362" s="41"/>
      <c r="F362" s="41"/>
      <c r="G362" s="43"/>
      <c r="H362" s="147" t="s">
        <v>12</v>
      </c>
      <c r="I362" s="144"/>
      <c r="J362" s="144"/>
      <c r="K362" s="145"/>
      <c r="L362" s="47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</row>
    <row r="363" spans="1:16" ht="18.75" hidden="1" x14ac:dyDescent="0.25">
      <c r="A363" s="136"/>
      <c r="B363" s="41"/>
      <c r="C363" s="41"/>
      <c r="D363" s="41"/>
      <c r="E363" s="279" t="s">
        <v>18</v>
      </c>
      <c r="F363" s="41"/>
      <c r="G363" s="43"/>
      <c r="H363" s="146" t="s">
        <v>12</v>
      </c>
      <c r="I363" s="144"/>
      <c r="J363" s="144"/>
      <c r="K363" s="145"/>
      <c r="L363" s="50">
        <v>0</v>
      </c>
      <c r="M363" s="50">
        <v>0</v>
      </c>
      <c r="N363" s="50">
        <v>0</v>
      </c>
      <c r="O363" s="50">
        <f>IF(L363&gt;0,N363*100/L363,0)</f>
        <v>0</v>
      </c>
      <c r="P363" s="50">
        <f>IF(M363&gt;0,N363*100/M363,0)</f>
        <v>0</v>
      </c>
    </row>
    <row r="364" spans="1:16" ht="18.75" x14ac:dyDescent="0.25">
      <c r="A364" s="136"/>
      <c r="B364" s="41"/>
      <c r="C364" s="41"/>
      <c r="D364" s="41"/>
      <c r="E364" s="254" t="s">
        <v>19</v>
      </c>
      <c r="F364" s="41"/>
      <c r="G364" s="43"/>
      <c r="H364" s="147" t="s">
        <v>12</v>
      </c>
      <c r="I364" s="144"/>
      <c r="J364" s="144"/>
      <c r="K364" s="145"/>
      <c r="L364" s="47">
        <f ca="1">IFERROR(__xludf.DUMMYFUNCTION("IMPORTRANGE(""https://docs.google.com/spreadsheets/d/1-uDff_7J0KD5mKrp0Vvzr7lt3OU09vwQwhkpOPPYv2Y/edit?usp=sharing"",""งบพรบ!FF28"")"),0)</f>
        <v>0</v>
      </c>
      <c r="M364" s="47">
        <f ca="1">IFERROR(__xludf.DUMMYFUNCTION("IMPORTRANGE(""https://docs.google.com/spreadsheets/d/1-uDff_7J0KD5mKrp0Vvzr7lt3OU09vwQwhkpOPPYv2Y/edit?usp=sharing"",""งบพรบ!FI28"")"),0)</f>
        <v>0</v>
      </c>
      <c r="N364" s="47">
        <f ca="1">IFERROR(__xludf.DUMMYFUNCTION("IMPORTRANGE(""https://docs.google.com/spreadsheets/d/1-uDff_7J0KD5mKrp0Vvzr7lt3OU09vwQwhkpOPPYv2Y/edit?usp=sharing"",""งบพรบ!FK28"")"),0)</f>
        <v>0</v>
      </c>
      <c r="O364" s="47">
        <f ca="1">IF(L364&gt;0,N364*100/L364,0)</f>
        <v>0</v>
      </c>
      <c r="P364" s="47">
        <f ca="1">IF(M364&gt;0,N364*100/M364,0)</f>
        <v>0</v>
      </c>
    </row>
    <row r="365" spans="1:16" ht="19.5" x14ac:dyDescent="0.3">
      <c r="A365" s="233"/>
      <c r="B365" s="234"/>
      <c r="C365" s="236"/>
      <c r="D365" s="396" t="s">
        <v>143</v>
      </c>
      <c r="E365" s="236"/>
      <c r="F365" s="236"/>
      <c r="G365" s="237"/>
      <c r="H365" s="245" t="s">
        <v>33</v>
      </c>
      <c r="I365" s="239">
        <f ca="1">I371</f>
        <v>189</v>
      </c>
      <c r="J365" s="239">
        <f ca="1">J371</f>
        <v>107</v>
      </c>
      <c r="K365" s="240">
        <f ca="1">IF(I365&gt;0,J365*100/I365,0)</f>
        <v>56.613756613756614</v>
      </c>
      <c r="L365" s="241"/>
      <c r="M365" s="241"/>
      <c r="N365" s="241"/>
      <c r="O365" s="241"/>
      <c r="P365" s="241"/>
    </row>
    <row r="366" spans="1:16" ht="19.5" x14ac:dyDescent="0.3">
      <c r="A366" s="148"/>
      <c r="B366" s="149"/>
      <c r="C366" s="197" t="s">
        <v>16</v>
      </c>
      <c r="D366" s="395" t="s">
        <v>36</v>
      </c>
      <c r="E366" s="151"/>
      <c r="F366" s="151"/>
      <c r="G366" s="152"/>
      <c r="H366" s="153"/>
      <c r="I366" s="45"/>
      <c r="J366" s="45"/>
      <c r="K366" s="46"/>
      <c r="L366" s="145"/>
      <c r="M366" s="145"/>
      <c r="N366" s="145"/>
      <c r="O366" s="145"/>
      <c r="P366" s="145"/>
    </row>
    <row r="367" spans="1:16" ht="18.75" x14ac:dyDescent="0.25">
      <c r="A367" s="148"/>
      <c r="B367" s="155"/>
      <c r="C367" s="149"/>
      <c r="D367" s="155"/>
      <c r="E367" s="154" t="s">
        <v>144</v>
      </c>
      <c r="F367" s="155"/>
      <c r="G367" s="153"/>
      <c r="H367" s="164" t="s">
        <v>33</v>
      </c>
      <c r="I367" s="169">
        <v>0</v>
      </c>
      <c r="J367" s="169">
        <f ca="1">IFERROR(__xludf.DUMMYFUNCTION("IMPORTRANGE(""https://docs.google.com/spreadsheets/d/1tdoBKaGub7dwA3U6UFTqxio9LNnvDCQjHKmttSEBsFQ/edit?usp=sharing"",""จัดที่ดิน!AB28"")"),8)</f>
        <v>8</v>
      </c>
      <c r="K367" s="47">
        <f>IF(I367&gt;0,J367*100/I367,0)</f>
        <v>0</v>
      </c>
      <c r="L367" s="145"/>
      <c r="M367" s="145"/>
      <c r="N367" s="145"/>
      <c r="O367" s="145"/>
      <c r="P367" s="145"/>
    </row>
    <row r="368" spans="1:16" ht="18.75" x14ac:dyDescent="0.25">
      <c r="A368" s="148"/>
      <c r="B368" s="155"/>
      <c r="C368" s="149"/>
      <c r="D368" s="155"/>
      <c r="E368" s="155"/>
      <c r="F368" s="155"/>
      <c r="G368" s="153"/>
      <c r="H368" s="164" t="s">
        <v>44</v>
      </c>
      <c r="I368" s="169">
        <f ca="1">IFERROR(__xludf.DUMMYFUNCTION("IMPORTRANGE(""https://docs.google.com/spreadsheets/d/1eHaY18a8A9IcSdp1K8H6x8fbOy06t2VsZHhMHf-1x7Y/edit?usp=sharing"",""แผน!EW28"")"),1710)</f>
        <v>1710</v>
      </c>
      <c r="J368" s="351">
        <f ca="1">IFERROR(__xludf.DUMMYFUNCTION("IMPORTRANGE(""https://docs.google.com/spreadsheets/d/1tdoBKaGub7dwA3U6UFTqxio9LNnvDCQjHKmttSEBsFQ/edit?usp=sharing"",""จัดที่ดิน!AC28"")"),177.92)</f>
        <v>177.92</v>
      </c>
      <c r="K368" s="47">
        <f ca="1">IF(I368&gt;0,J368*100/I368,0)</f>
        <v>10.404678362573099</v>
      </c>
      <c r="L368" s="145"/>
      <c r="M368" s="145"/>
      <c r="N368" s="145"/>
      <c r="O368" s="145"/>
      <c r="P368" s="145"/>
    </row>
    <row r="369" spans="1:16" ht="18.75" x14ac:dyDescent="0.25">
      <c r="A369" s="148"/>
      <c r="B369" s="155"/>
      <c r="C369" s="149"/>
      <c r="D369" s="155"/>
      <c r="E369" s="154" t="s">
        <v>145</v>
      </c>
      <c r="F369" s="155"/>
      <c r="G369" s="153"/>
      <c r="H369" s="251" t="s">
        <v>33</v>
      </c>
      <c r="I369" s="169">
        <f ca="1">IFERROR(__xludf.DUMMYFUNCTION("IMPORTRANGE(""https://docs.google.com/spreadsheets/d/1eHaY18a8A9IcSdp1K8H6x8fbOy06t2VsZHhMHf-1x7Y/edit?usp=sharing"",""แผน!EX28"")"),288)</f>
        <v>288</v>
      </c>
      <c r="J369" s="169">
        <f ca="1">IFERROR(__xludf.DUMMYFUNCTION("IMPORTRANGE(""https://docs.google.com/spreadsheets/d/1tdoBKaGub7dwA3U6UFTqxio9LNnvDCQjHKmttSEBsFQ/edit?usp=sharing"",""จัดที่ดิน!AD28"")"),107)</f>
        <v>107</v>
      </c>
      <c r="K369" s="47">
        <f ca="1">IF(I369&gt;0,J369*100/I369,0)</f>
        <v>37.152777777777779</v>
      </c>
      <c r="L369" s="145"/>
      <c r="M369" s="145"/>
      <c r="N369" s="145"/>
      <c r="O369" s="145"/>
      <c r="P369" s="145"/>
    </row>
    <row r="370" spans="1:16" ht="18.75" x14ac:dyDescent="0.25">
      <c r="A370" s="148"/>
      <c r="B370" s="155"/>
      <c r="C370" s="149"/>
      <c r="D370" s="155"/>
      <c r="E370" s="155"/>
      <c r="F370" s="155"/>
      <c r="G370" s="153"/>
      <c r="H370" s="251" t="s">
        <v>44</v>
      </c>
      <c r="I370" s="169">
        <v>0</v>
      </c>
      <c r="J370" s="351">
        <f ca="1">IFERROR(__xludf.DUMMYFUNCTION("IMPORTRANGE(""https://docs.google.com/spreadsheets/d/1tdoBKaGub7dwA3U6UFTqxio9LNnvDCQjHKmttSEBsFQ/edit?usp=sharing"",""จัดที่ดิน!AE28"")"),1226.19)</f>
        <v>1226.19</v>
      </c>
      <c r="K370" s="47">
        <f>IF(I370&gt;0,J370*100/I370,0)</f>
        <v>0</v>
      </c>
      <c r="L370" s="145"/>
      <c r="M370" s="145"/>
      <c r="N370" s="145"/>
      <c r="O370" s="145"/>
      <c r="P370" s="145"/>
    </row>
    <row r="371" spans="1:16" ht="18.75" x14ac:dyDescent="0.25">
      <c r="A371" s="148"/>
      <c r="B371" s="155"/>
      <c r="C371" s="149"/>
      <c r="D371" s="155"/>
      <c r="E371" s="154" t="s">
        <v>146</v>
      </c>
      <c r="F371" s="155"/>
      <c r="G371" s="153"/>
      <c r="H371" s="251" t="s">
        <v>33</v>
      </c>
      <c r="I371" s="169">
        <f ca="1">IFERROR(__xludf.DUMMYFUNCTION("IMPORTRANGE(""https://docs.google.com/spreadsheets/d/1eHaY18a8A9IcSdp1K8H6x8fbOy06t2VsZHhMHf-1x7Y/edit?usp=sharing"",""แผน!EY28"")"),189)</f>
        <v>189</v>
      </c>
      <c r="J371" s="169">
        <f ca="1">IFERROR(__xludf.DUMMYFUNCTION("IMPORTRANGE(""https://docs.google.com/spreadsheets/d/1tdoBKaGub7dwA3U6UFTqxio9LNnvDCQjHKmttSEBsFQ/edit?usp=sharing"",""จัดที่ดิน!AF28"")"),107)</f>
        <v>107</v>
      </c>
      <c r="K371" s="47">
        <f ca="1">IF(I371&gt;0,J371*100/I371,0)</f>
        <v>56.613756613756614</v>
      </c>
      <c r="L371" s="145"/>
      <c r="M371" s="145"/>
      <c r="N371" s="145"/>
      <c r="O371" s="145"/>
      <c r="P371" s="145"/>
    </row>
    <row r="372" spans="1:16" ht="18.75" x14ac:dyDescent="0.25">
      <c r="A372" s="148"/>
      <c r="B372" s="155"/>
      <c r="C372" s="149"/>
      <c r="D372" s="155"/>
      <c r="E372" s="155"/>
      <c r="F372" s="155"/>
      <c r="G372" s="153"/>
      <c r="H372" s="251" t="s">
        <v>44</v>
      </c>
      <c r="I372" s="169">
        <v>0</v>
      </c>
      <c r="J372" s="351">
        <f ca="1">IFERROR(__xludf.DUMMYFUNCTION("IMPORTRANGE(""https://docs.google.com/spreadsheets/d/1tdoBKaGub7dwA3U6UFTqxio9LNnvDCQjHKmttSEBsFQ/edit?usp=sharing"",""จัดที่ดิน!AG28"")"),1221.46)</f>
        <v>1221.46</v>
      </c>
      <c r="K372" s="47">
        <f>IF(I372&gt;0,J372*100/I372,0)</f>
        <v>0</v>
      </c>
      <c r="L372" s="145"/>
      <c r="M372" s="145"/>
      <c r="N372" s="145"/>
      <c r="O372" s="145"/>
      <c r="P372" s="145"/>
    </row>
    <row r="373" spans="1:16" ht="16.5" x14ac:dyDescent="0.25">
      <c r="A373" s="2"/>
      <c r="B373" s="1"/>
      <c r="C373" s="2"/>
      <c r="D373" s="352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4"/>
      <c r="H373" s="54"/>
      <c r="I373" s="56"/>
      <c r="J373" s="56"/>
      <c r="K373" s="57"/>
      <c r="L373" s="57"/>
      <c r="M373" s="57"/>
      <c r="N373" s="57"/>
      <c r="O373" s="57"/>
      <c r="P373" s="57"/>
    </row>
    <row r="374" spans="1:16" ht="19.5" hidden="1" x14ac:dyDescent="0.3">
      <c r="A374" s="353" t="s">
        <v>147</v>
      </c>
      <c r="B374" s="354"/>
      <c r="C374" s="354"/>
      <c r="D374" s="354"/>
      <c r="E374" s="355"/>
      <c r="F374" s="355"/>
      <c r="G374" s="355"/>
      <c r="H374" s="355"/>
      <c r="I374" s="356"/>
      <c r="J374" s="356"/>
      <c r="K374" s="357"/>
      <c r="L374" s="357"/>
      <c r="M374" s="357"/>
      <c r="N374" s="357"/>
      <c r="O374" s="357"/>
      <c r="P374" s="358"/>
    </row>
    <row r="375" spans="1:16" ht="19.5" hidden="1" x14ac:dyDescent="0.3">
      <c r="A375" s="359" t="s">
        <v>148</v>
      </c>
      <c r="B375" s="360"/>
      <c r="C375" s="360"/>
      <c r="D375" s="361"/>
      <c r="E375" s="360"/>
      <c r="F375" s="360"/>
      <c r="G375" s="360"/>
      <c r="H375" s="362"/>
      <c r="I375" s="363"/>
      <c r="J375" s="363"/>
      <c r="K375" s="364"/>
      <c r="L375" s="364"/>
      <c r="M375" s="364"/>
      <c r="N375" s="364"/>
      <c r="O375" s="364"/>
      <c r="P375" s="364"/>
    </row>
    <row r="376" spans="1:16" ht="19.5" hidden="1" x14ac:dyDescent="0.3">
      <c r="A376" s="365"/>
      <c r="B376" s="366" t="s">
        <v>149</v>
      </c>
      <c r="C376" s="367"/>
      <c r="D376" s="368"/>
      <c r="E376" s="368"/>
      <c r="F376" s="368"/>
      <c r="G376" s="369"/>
      <c r="H376" s="370" t="s">
        <v>54</v>
      </c>
      <c r="I376" s="371">
        <f>I388</f>
        <v>0</v>
      </c>
      <c r="J376" s="371">
        <f>J388</f>
        <v>0</v>
      </c>
      <c r="K376" s="372">
        <f>IF(I376&gt;0,J376*100/I376,0)</f>
        <v>0</v>
      </c>
      <c r="L376" s="373"/>
      <c r="M376" s="373"/>
      <c r="N376" s="373"/>
      <c r="O376" s="373"/>
      <c r="P376" s="373"/>
    </row>
    <row r="377" spans="1:16" ht="19.5" hidden="1" x14ac:dyDescent="0.3">
      <c r="A377" s="136"/>
      <c r="B377" s="41"/>
      <c r="C377" s="260" t="s">
        <v>16</v>
      </c>
      <c r="D377" s="261" t="s">
        <v>17</v>
      </c>
      <c r="E377" s="41"/>
      <c r="F377" s="41"/>
      <c r="G377" s="43"/>
      <c r="H377" s="277" t="s">
        <v>12</v>
      </c>
      <c r="I377" s="45"/>
      <c r="J377" s="45"/>
      <c r="K377" s="46"/>
      <c r="L377" s="263">
        <f ca="1">L378+L379</f>
        <v>0</v>
      </c>
      <c r="M377" s="263">
        <f ca="1">M378+M379</f>
        <v>0</v>
      </c>
      <c r="N377" s="263">
        <f ca="1">N378+N379</f>
        <v>0</v>
      </c>
      <c r="O377" s="263">
        <f ca="1">IF(L377&gt;0,N377*100/L377,0)</f>
        <v>0</v>
      </c>
      <c r="P377" s="263">
        <f ca="1">IF(M377&gt;0,N377*100/M377,0)</f>
        <v>0</v>
      </c>
    </row>
    <row r="378" spans="1:16" ht="18.75" hidden="1" x14ac:dyDescent="0.25">
      <c r="A378" s="136"/>
      <c r="B378" s="41"/>
      <c r="C378" s="41"/>
      <c r="D378" s="41"/>
      <c r="E378" s="279" t="s">
        <v>18</v>
      </c>
      <c r="F378" s="41"/>
      <c r="G378" s="43"/>
      <c r="H378" s="141" t="s">
        <v>12</v>
      </c>
      <c r="I378" s="45"/>
      <c r="J378" s="45"/>
      <c r="K378" s="46"/>
      <c r="L378" s="50">
        <f>L381+L384</f>
        <v>0</v>
      </c>
      <c r="M378" s="50">
        <f>M381+M384</f>
        <v>0</v>
      </c>
      <c r="N378" s="50">
        <f>N381+N384</f>
        <v>0</v>
      </c>
      <c r="O378" s="50">
        <f>IF(L378&gt;0,N378*100/L378,0)</f>
        <v>0</v>
      </c>
      <c r="P378" s="50">
        <f>IF(M378&gt;0,N378*100/M378,0)</f>
        <v>0</v>
      </c>
    </row>
    <row r="379" spans="1:16" ht="18.75" hidden="1" x14ac:dyDescent="0.25">
      <c r="A379" s="136"/>
      <c r="B379" s="41"/>
      <c r="C379" s="41"/>
      <c r="D379" s="41"/>
      <c r="E379" s="279" t="s">
        <v>19</v>
      </c>
      <c r="F379" s="41"/>
      <c r="G379" s="43"/>
      <c r="H379" s="141" t="s">
        <v>12</v>
      </c>
      <c r="I379" s="45"/>
      <c r="J379" s="45"/>
      <c r="K379" s="46"/>
      <c r="L379" s="50">
        <f ca="1">L382+L385</f>
        <v>0</v>
      </c>
      <c r="M379" s="50">
        <f ca="1">M382+M385</f>
        <v>0</v>
      </c>
      <c r="N379" s="50">
        <f ca="1">N382+N385</f>
        <v>0</v>
      </c>
      <c r="O379" s="50">
        <f ca="1">IF(L379&gt;0,N379*100/L379,0)</f>
        <v>0</v>
      </c>
      <c r="P379" s="50">
        <f ca="1">IF(M379&gt;0,N379*100/M379,0)</f>
        <v>0</v>
      </c>
    </row>
    <row r="380" spans="1:16" ht="18.75" hidden="1" x14ac:dyDescent="0.25">
      <c r="A380" s="136"/>
      <c r="B380" s="41"/>
      <c r="C380" s="41"/>
      <c r="D380" s="278" t="s">
        <v>20</v>
      </c>
      <c r="E380" s="41"/>
      <c r="F380" s="41"/>
      <c r="G380" s="43"/>
      <c r="H380" s="146" t="s">
        <v>12</v>
      </c>
      <c r="I380" s="144"/>
      <c r="J380" s="144"/>
      <c r="K380" s="145"/>
      <c r="L380" s="50">
        <f ca="1">L381+L382</f>
        <v>0</v>
      </c>
      <c r="M380" s="50">
        <f ca="1">M381+M382</f>
        <v>0</v>
      </c>
      <c r="N380" s="50">
        <f ca="1">N381+N382</f>
        <v>0</v>
      </c>
      <c r="O380" s="50">
        <f ca="1">IF(L380&gt;0,N380*100/L380,0)</f>
        <v>0</v>
      </c>
      <c r="P380" s="50">
        <f ca="1">IF(M380&gt;0,N380*100/M380,0)</f>
        <v>0</v>
      </c>
    </row>
    <row r="381" spans="1:16" ht="18.75" hidden="1" x14ac:dyDescent="0.25">
      <c r="A381" s="136"/>
      <c r="B381" s="41"/>
      <c r="C381" s="41"/>
      <c r="D381" s="41"/>
      <c r="E381" s="279" t="s">
        <v>34</v>
      </c>
      <c r="F381" s="41"/>
      <c r="G381" s="43"/>
      <c r="H381" s="146" t="s">
        <v>12</v>
      </c>
      <c r="I381" s="144"/>
      <c r="J381" s="144"/>
      <c r="K381" s="145"/>
      <c r="L381" s="50">
        <v>0</v>
      </c>
      <c r="M381" s="50">
        <v>0</v>
      </c>
      <c r="N381" s="50">
        <v>0</v>
      </c>
      <c r="O381" s="50">
        <f>IF(L381&gt;0,N381*100/L381,0)</f>
        <v>0</v>
      </c>
      <c r="P381" s="50">
        <f>IF(M381&gt;0,N381*100/M381,0)</f>
        <v>0</v>
      </c>
    </row>
    <row r="382" spans="1:16" ht="18.75" hidden="1" x14ac:dyDescent="0.25">
      <c r="A382" s="136"/>
      <c r="B382" s="41"/>
      <c r="C382" s="41"/>
      <c r="D382" s="41"/>
      <c r="E382" s="279" t="s">
        <v>35</v>
      </c>
      <c r="F382" s="41"/>
      <c r="G382" s="43"/>
      <c r="H382" s="146" t="s">
        <v>12</v>
      </c>
      <c r="I382" s="144"/>
      <c r="J382" s="144"/>
      <c r="K382" s="145"/>
      <c r="L382" s="50">
        <f ca="1">IFERROR(__xludf.DUMMYFUNCTION("IMPORTRANGE(""https://docs.google.com/spreadsheets/d/1-uDff_7J0KD5mKrp0Vvzr7lt3OU09vwQwhkpOPPYv2Y/edit?usp=sharing"",""งบพรบ!FM28"")"),0)</f>
        <v>0</v>
      </c>
      <c r="M382" s="50">
        <f ca="1">IFERROR(__xludf.DUMMYFUNCTION("IMPORTRANGE(""https://docs.google.com/spreadsheets/d/1-uDff_7J0KD5mKrp0Vvzr7lt3OU09vwQwhkpOPPYv2Y/edit?usp=sharing"",""งบพรบ!FR28"")"),0)</f>
        <v>0</v>
      </c>
      <c r="N382" s="50">
        <f ca="1">IFERROR(__xludf.DUMMYFUNCTION("IMPORTRANGE(""https://docs.google.com/spreadsheets/d/1-uDff_7J0KD5mKrp0Vvzr7lt3OU09vwQwhkpOPPYv2Y/edit?usp=sharing"",""งบพรบ!FT28"")"),0)</f>
        <v>0</v>
      </c>
      <c r="O382" s="50">
        <f ca="1">IF(L382&gt;0,N382*100/L382,0)</f>
        <v>0</v>
      </c>
      <c r="P382" s="50">
        <f ca="1">IF(M382&gt;0,N382*100/M382,0)</f>
        <v>0</v>
      </c>
    </row>
    <row r="383" spans="1:16" ht="18.75" hidden="1" x14ac:dyDescent="0.25">
      <c r="A383" s="136"/>
      <c r="B383" s="41"/>
      <c r="C383" s="41"/>
      <c r="D383" s="278" t="s">
        <v>21</v>
      </c>
      <c r="E383" s="41"/>
      <c r="F383" s="41"/>
      <c r="G383" s="43"/>
      <c r="H383" s="199" t="s">
        <v>12</v>
      </c>
      <c r="I383" s="144"/>
      <c r="J383" s="144"/>
      <c r="K383" s="145"/>
      <c r="L383" s="50">
        <f ca="1">L384+L385</f>
        <v>0</v>
      </c>
      <c r="M383" s="50">
        <f ca="1">M384+M385</f>
        <v>0</v>
      </c>
      <c r="N383" s="50">
        <f ca="1">N384+N385</f>
        <v>0</v>
      </c>
      <c r="O383" s="50">
        <f ca="1">IF(L383&gt;0,N383*100/L383,0)</f>
        <v>0</v>
      </c>
      <c r="P383" s="50">
        <f ca="1">IF(M383&gt;0,N383*100/M383,0)</f>
        <v>0</v>
      </c>
    </row>
    <row r="384" spans="1:16" ht="18.75" hidden="1" x14ac:dyDescent="0.25">
      <c r="A384" s="136"/>
      <c r="B384" s="41"/>
      <c r="C384" s="41"/>
      <c r="D384" s="41"/>
      <c r="E384" s="279" t="s">
        <v>18</v>
      </c>
      <c r="F384" s="41"/>
      <c r="G384" s="43"/>
      <c r="H384" s="146" t="s">
        <v>12</v>
      </c>
      <c r="I384" s="144"/>
      <c r="J384" s="144"/>
      <c r="K384" s="145"/>
      <c r="L384" s="50">
        <v>0</v>
      </c>
      <c r="M384" s="50">
        <v>0</v>
      </c>
      <c r="N384" s="50">
        <v>0</v>
      </c>
      <c r="O384" s="50">
        <f>IF(L384&gt;0,N384*100/L384,0)</f>
        <v>0</v>
      </c>
      <c r="P384" s="50">
        <f>IF(M384&gt;0,N384*100/M384,0)</f>
        <v>0</v>
      </c>
    </row>
    <row r="385" spans="1:16" ht="18.75" hidden="1" x14ac:dyDescent="0.25">
      <c r="A385" s="136"/>
      <c r="B385" s="41"/>
      <c r="C385" s="41"/>
      <c r="D385" s="41"/>
      <c r="E385" s="279" t="s">
        <v>19</v>
      </c>
      <c r="F385" s="41"/>
      <c r="G385" s="43"/>
      <c r="H385" s="199" t="s">
        <v>12</v>
      </c>
      <c r="I385" s="144"/>
      <c r="J385" s="144"/>
      <c r="K385" s="145"/>
      <c r="L385" s="50">
        <f ca="1">IFERROR(__xludf.DUMMYFUNCTION("IMPORTRANGE(""https://docs.google.com/spreadsheets/d/1-uDff_7J0KD5mKrp0Vvzr7lt3OU09vwQwhkpOPPYv2Y/edit?usp=sharing"",""งบพรบ!FP28"")"),0)</f>
        <v>0</v>
      </c>
      <c r="M385" s="50">
        <f ca="1">IFERROR(__xludf.DUMMYFUNCTION("IMPORTRANGE(""https://docs.google.com/spreadsheets/d/1-uDff_7J0KD5mKrp0Vvzr7lt3OU09vwQwhkpOPPYv2Y/edit?usp=sharing"",""งบพรบ!FS28"")"),0)</f>
        <v>0</v>
      </c>
      <c r="N385" s="50">
        <f ca="1">IFERROR(__xludf.DUMMYFUNCTION("IMPORTRANGE(""https://docs.google.com/spreadsheets/d/1-uDff_7J0KD5mKrp0Vvzr7lt3OU09vwQwhkpOPPYv2Y/edit?usp=sharing"",""งบพรบ!FU28"")"),0)</f>
        <v>0</v>
      </c>
      <c r="O385" s="50">
        <f ca="1">IF(L385&gt;0,N385*100/L385,0)</f>
        <v>0</v>
      </c>
      <c r="P385" s="50">
        <f ca="1">IF(M385&gt;0,N385*100/M385,0)</f>
        <v>0</v>
      </c>
    </row>
    <row r="386" spans="1:16" ht="19.5" hidden="1" x14ac:dyDescent="0.3">
      <c r="A386" s="148"/>
      <c r="B386" s="149"/>
      <c r="C386" s="260" t="s">
        <v>16</v>
      </c>
      <c r="D386" s="394" t="s">
        <v>36</v>
      </c>
      <c r="E386" s="151"/>
      <c r="F386" s="151"/>
      <c r="G386" s="152"/>
      <c r="H386" s="153"/>
      <c r="I386" s="144"/>
      <c r="J386" s="45"/>
      <c r="K386" s="46"/>
      <c r="L386" s="46"/>
      <c r="M386" s="46"/>
      <c r="N386" s="46"/>
      <c r="O386" s="145"/>
      <c r="P386" s="145"/>
    </row>
    <row r="387" spans="1:16" ht="18.75" hidden="1" x14ac:dyDescent="0.25">
      <c r="A387" s="227"/>
      <c r="B387" s="41"/>
      <c r="C387" s="228"/>
      <c r="D387" s="267" t="s">
        <v>150</v>
      </c>
      <c r="E387" s="149"/>
      <c r="F387" s="41"/>
      <c r="G387" s="43"/>
      <c r="H387" s="232" t="s">
        <v>9</v>
      </c>
      <c r="I387" s="200">
        <v>0</v>
      </c>
      <c r="J387" s="201">
        <v>0</v>
      </c>
      <c r="K387" s="50">
        <f>IF(I387&gt;0,J387*100/I387,0)</f>
        <v>0</v>
      </c>
      <c r="L387" s="46"/>
      <c r="M387" s="46"/>
      <c r="N387" s="46"/>
      <c r="O387" s="46"/>
      <c r="P387" s="46"/>
    </row>
    <row r="388" spans="1:16" ht="18.75" hidden="1" x14ac:dyDescent="0.25">
      <c r="A388" s="374"/>
      <c r="B388" s="1"/>
      <c r="C388" s="2"/>
      <c r="D388" s="375" t="s">
        <v>151</v>
      </c>
      <c r="E388" s="281"/>
      <c r="F388" s="1"/>
      <c r="G388" s="54"/>
      <c r="H388" s="376" t="s">
        <v>54</v>
      </c>
      <c r="I388" s="205">
        <v>0</v>
      </c>
      <c r="J388" s="206">
        <v>0</v>
      </c>
      <c r="K388" s="207">
        <f>IF(I388&gt;0,J388*100/I388,0)</f>
        <v>0</v>
      </c>
      <c r="L388" s="57"/>
      <c r="M388" s="57"/>
      <c r="N388" s="57"/>
      <c r="O388" s="57"/>
      <c r="P388" s="57"/>
    </row>
    <row r="389" spans="1:16" ht="12.75" x14ac:dyDescent="0.2">
      <c r="A389" s="168"/>
      <c r="B389" s="168"/>
      <c r="C389" s="168"/>
      <c r="D389" s="168"/>
      <c r="E389" s="168"/>
      <c r="F389" s="168"/>
      <c r="G389" s="168"/>
      <c r="H389" s="168"/>
      <c r="I389" s="168"/>
      <c r="J389" s="168"/>
      <c r="K389" s="168"/>
      <c r="L389" s="168"/>
      <c r="M389" s="168"/>
      <c r="N389" s="168"/>
      <c r="O389" s="168"/>
      <c r="P389" s="168"/>
    </row>
    <row r="390" spans="1:16" ht="16.5" x14ac:dyDescent="0.25">
      <c r="A390" s="377" t="s">
        <v>152</v>
      </c>
      <c r="B390" s="168"/>
      <c r="C390" s="168"/>
      <c r="D390" s="168"/>
      <c r="E390" s="168"/>
      <c r="F390" s="168"/>
      <c r="G390" s="168"/>
      <c r="H390" s="168"/>
      <c r="I390" s="168"/>
      <c r="J390" s="168"/>
      <c r="K390" s="168"/>
      <c r="L390" s="168"/>
      <c r="M390" s="168"/>
      <c r="N390" s="168"/>
      <c r="O390" s="168"/>
      <c r="P390" s="168"/>
    </row>
    <row r="391" spans="1:16" ht="16.5" x14ac:dyDescent="0.25">
      <c r="A391" s="377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8"/>
      <c r="C391" s="168"/>
      <c r="D391" s="168"/>
      <c r="E391" s="168"/>
      <c r="F391" s="168"/>
      <c r="G391" s="168"/>
      <c r="H391" s="168"/>
      <c r="I391" s="168"/>
      <c r="J391" s="168"/>
      <c r="K391" s="168"/>
      <c r="L391" s="168"/>
      <c r="M391" s="168"/>
      <c r="N391" s="168"/>
      <c r="O391" s="168"/>
      <c r="P391" s="16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2" orientation="portrait" r:id="rId1"/>
  <headerFooter>
    <oddFooter>&amp;Cหน้า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441D-A8CF-4652-872F-A32B31AAE261}">
  <sheetPr>
    <outlinePr summaryBelow="0" summaryRight="0"/>
  </sheetPr>
  <dimension ref="A1:P391"/>
  <sheetViews>
    <sheetView view="pageBreakPreview" zoomScale="60" zoomScaleNormal="68" workbookViewId="0">
      <pane xSplit="8" ySplit="6" topLeftCell="I7" activePane="bottomRight" state="frozen"/>
      <selection activeCell="P44" sqref="P44"/>
      <selection pane="topRight" activeCell="P44" sqref="P44"/>
      <selection pane="bottomLeft" activeCell="P44" sqref="P44"/>
      <selection pane="bottomRight" activeCell="P44" sqref="P4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3" width="21.5703125" bestFit="1" customWidth="1"/>
    <col min="14" max="14" width="19" bestFit="1" customWidth="1"/>
    <col min="15" max="15" width="17.5703125" customWidth="1"/>
    <col min="16" max="16" width="22.42578125" bestFit="1" customWidth="1"/>
  </cols>
  <sheetData>
    <row r="1" spans="1:16" ht="19.5" x14ac:dyDescent="0.3">
      <c r="A1" s="386" t="s">
        <v>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</row>
    <row r="2" spans="1:16" ht="19.5" x14ac:dyDescent="0.3">
      <c r="A2" s="386" t="s">
        <v>173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</row>
    <row r="3" spans="1:16" ht="19.5" x14ac:dyDescent="0.3">
      <c r="A3" s="386" t="s">
        <v>175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388" t="s">
        <v>2</v>
      </c>
      <c r="B5" s="387"/>
      <c r="C5" s="387"/>
      <c r="D5" s="387"/>
      <c r="E5" s="387"/>
      <c r="F5" s="387"/>
      <c r="G5" s="389"/>
      <c r="H5" s="4" t="s">
        <v>3</v>
      </c>
      <c r="I5" s="391" t="s">
        <v>4</v>
      </c>
      <c r="J5" s="379"/>
      <c r="K5" s="380"/>
      <c r="L5" s="392" t="s">
        <v>5</v>
      </c>
      <c r="M5" s="380"/>
      <c r="N5" s="393" t="s">
        <v>6</v>
      </c>
      <c r="O5" s="379"/>
      <c r="P5" s="380"/>
    </row>
    <row r="6" spans="1:16" ht="19.5" x14ac:dyDescent="0.3">
      <c r="A6" s="390"/>
      <c r="B6" s="379"/>
      <c r="C6" s="379"/>
      <c r="D6" s="379"/>
      <c r="E6" s="379"/>
      <c r="F6" s="379"/>
      <c r="G6" s="380"/>
      <c r="H6" s="5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466" t="s">
        <v>14</v>
      </c>
    </row>
    <row r="7" spans="1:16" ht="12.75" hidden="1" x14ac:dyDescent="0.2">
      <c r="A7" s="381"/>
      <c r="B7" s="379"/>
      <c r="C7" s="379"/>
      <c r="D7" s="379"/>
      <c r="E7" s="379"/>
      <c r="F7" s="379"/>
      <c r="G7" s="380"/>
      <c r="H7" s="12"/>
      <c r="I7" s="13"/>
      <c r="J7" s="13"/>
      <c r="K7" s="14"/>
      <c r="L7" s="14"/>
      <c r="M7" s="14"/>
      <c r="N7" s="14"/>
      <c r="O7" s="14"/>
      <c r="P7" s="14"/>
    </row>
    <row r="8" spans="1:16" ht="12.75" hidden="1" x14ac:dyDescent="0.2">
      <c r="A8" s="15"/>
      <c r="B8" s="16"/>
      <c r="C8" s="16"/>
      <c r="D8" s="16"/>
      <c r="E8" s="16"/>
      <c r="F8" s="16"/>
      <c r="G8" s="17"/>
      <c r="H8" s="17"/>
      <c r="I8" s="18"/>
      <c r="J8" s="18"/>
      <c r="K8" s="19"/>
      <c r="L8" s="19"/>
      <c r="M8" s="19"/>
      <c r="N8" s="19"/>
      <c r="O8" s="19"/>
      <c r="P8" s="19"/>
    </row>
    <row r="9" spans="1:16" ht="12.75" hidden="1" x14ac:dyDescent="0.2">
      <c r="A9" s="15"/>
      <c r="B9" s="16"/>
      <c r="C9" s="16"/>
      <c r="D9" s="16"/>
      <c r="E9" s="16"/>
      <c r="F9" s="16"/>
      <c r="G9" s="17"/>
      <c r="H9" s="17"/>
      <c r="I9" s="18"/>
      <c r="J9" s="18"/>
      <c r="K9" s="19"/>
      <c r="L9" s="19"/>
      <c r="M9" s="19"/>
      <c r="N9" s="19"/>
      <c r="O9" s="19"/>
      <c r="P9" s="19"/>
    </row>
    <row r="10" spans="1:16" ht="12.75" hidden="1" x14ac:dyDescent="0.2">
      <c r="A10" s="15"/>
      <c r="B10" s="16"/>
      <c r="C10" s="16"/>
      <c r="D10" s="16"/>
      <c r="E10" s="16"/>
      <c r="F10" s="16"/>
      <c r="G10" s="17"/>
      <c r="H10" s="17"/>
      <c r="I10" s="18"/>
      <c r="J10" s="18"/>
      <c r="K10" s="19"/>
      <c r="L10" s="19"/>
      <c r="M10" s="19"/>
      <c r="N10" s="19"/>
      <c r="O10" s="19"/>
      <c r="P10" s="19"/>
    </row>
    <row r="11" spans="1:16" ht="12.75" hidden="1" x14ac:dyDescent="0.2">
      <c r="A11" s="15"/>
      <c r="B11" s="16"/>
      <c r="C11" s="16"/>
      <c r="D11" s="16"/>
      <c r="E11" s="16"/>
      <c r="F11" s="16"/>
      <c r="G11" s="17"/>
      <c r="H11" s="17"/>
      <c r="I11" s="18"/>
      <c r="J11" s="18"/>
      <c r="K11" s="19"/>
      <c r="L11" s="19"/>
      <c r="M11" s="19"/>
      <c r="N11" s="19"/>
      <c r="O11" s="19"/>
      <c r="P11" s="19"/>
    </row>
    <row r="12" spans="1:16" ht="12.75" hidden="1" x14ac:dyDescent="0.2">
      <c r="A12" s="15"/>
      <c r="B12" s="16"/>
      <c r="C12" s="16"/>
      <c r="D12" s="16"/>
      <c r="E12" s="16"/>
      <c r="F12" s="16"/>
      <c r="G12" s="17"/>
      <c r="H12" s="17"/>
      <c r="I12" s="18"/>
      <c r="J12" s="18"/>
      <c r="K12" s="19"/>
      <c r="L12" s="19"/>
      <c r="M12" s="19"/>
      <c r="N12" s="19"/>
      <c r="O12" s="19"/>
      <c r="P12" s="19"/>
    </row>
    <row r="13" spans="1:16" ht="12.75" hidden="1" x14ac:dyDescent="0.2">
      <c r="A13" s="15"/>
      <c r="B13" s="16"/>
      <c r="C13" s="16"/>
      <c r="D13" s="16"/>
      <c r="E13" s="16"/>
      <c r="F13" s="16"/>
      <c r="G13" s="17"/>
      <c r="H13" s="17"/>
      <c r="I13" s="18"/>
      <c r="J13" s="18"/>
      <c r="K13" s="19"/>
      <c r="L13" s="19"/>
      <c r="M13" s="19"/>
      <c r="N13" s="19"/>
      <c r="O13" s="19"/>
      <c r="P13" s="19"/>
    </row>
    <row r="14" spans="1:16" ht="12.75" hidden="1" x14ac:dyDescent="0.2">
      <c r="A14" s="15"/>
      <c r="B14" s="16"/>
      <c r="C14" s="16"/>
      <c r="D14" s="16"/>
      <c r="E14" s="16"/>
      <c r="F14" s="16"/>
      <c r="G14" s="17"/>
      <c r="H14" s="17"/>
      <c r="I14" s="18"/>
      <c r="J14" s="18"/>
      <c r="K14" s="19"/>
      <c r="L14" s="19"/>
      <c r="M14" s="19"/>
      <c r="N14" s="19"/>
      <c r="O14" s="19"/>
      <c r="P14" s="19"/>
    </row>
    <row r="15" spans="1:16" ht="12.75" hidden="1" x14ac:dyDescent="0.2">
      <c r="A15" s="15"/>
      <c r="B15" s="16"/>
      <c r="C15" s="16"/>
      <c r="D15" s="16"/>
      <c r="E15" s="16"/>
      <c r="F15" s="16"/>
      <c r="G15" s="17"/>
      <c r="H15" s="17"/>
      <c r="I15" s="18"/>
      <c r="J15" s="18"/>
      <c r="K15" s="19"/>
      <c r="L15" s="19"/>
      <c r="M15" s="19"/>
      <c r="N15" s="19"/>
      <c r="O15" s="19"/>
      <c r="P15" s="19"/>
    </row>
    <row r="16" spans="1:16" ht="12.75" hidden="1" x14ac:dyDescent="0.2">
      <c r="A16" s="20"/>
      <c r="B16" s="21"/>
      <c r="C16" s="21"/>
      <c r="D16" s="21"/>
      <c r="E16" s="21"/>
      <c r="F16" s="21"/>
      <c r="G16" s="12"/>
      <c r="H16" s="12"/>
      <c r="I16" s="13"/>
      <c r="J16" s="13"/>
      <c r="K16" s="14"/>
      <c r="L16" s="14"/>
      <c r="M16" s="14"/>
      <c r="N16" s="14"/>
      <c r="O16" s="14"/>
      <c r="P16" s="14"/>
    </row>
    <row r="17" spans="1:16" ht="19.5" x14ac:dyDescent="0.3">
      <c r="A17" s="378" t="s">
        <v>15</v>
      </c>
      <c r="B17" s="379"/>
      <c r="C17" s="379"/>
      <c r="D17" s="379"/>
      <c r="E17" s="379"/>
      <c r="F17" s="379"/>
      <c r="G17" s="380"/>
      <c r="H17" s="22"/>
      <c r="I17" s="23"/>
      <c r="J17" s="23"/>
      <c r="K17" s="24"/>
      <c r="L17" s="24"/>
      <c r="M17" s="24"/>
      <c r="N17" s="24"/>
      <c r="O17" s="24"/>
      <c r="P17" s="24"/>
    </row>
    <row r="18" spans="1:16" ht="19.5" x14ac:dyDescent="0.3">
      <c r="A18" s="25"/>
      <c r="B18" s="26"/>
      <c r="C18" s="132" t="s">
        <v>16</v>
      </c>
      <c r="D18" s="28" t="s">
        <v>17</v>
      </c>
      <c r="E18" s="26"/>
      <c r="F18" s="26"/>
      <c r="G18" s="29"/>
      <c r="H18" s="30" t="s">
        <v>12</v>
      </c>
      <c r="I18" s="31"/>
      <c r="J18" s="31"/>
      <c r="K18" s="32"/>
      <c r="L18" s="33">
        <f ca="1">L19+L20</f>
        <v>1968920</v>
      </c>
      <c r="M18" s="33">
        <f ca="1">M19+M20</f>
        <v>1595980</v>
      </c>
      <c r="N18" s="33">
        <f ca="1">N19+N20</f>
        <v>547790.18999999994</v>
      </c>
      <c r="O18" s="33">
        <f ca="1">IF(L18&gt;0,N18*100/L18,0)</f>
        <v>27.821861223411815</v>
      </c>
      <c r="P18" s="33">
        <f ca="1">IF(M18&gt;0,N18*100/M18,0)</f>
        <v>34.323123723354925</v>
      </c>
    </row>
    <row r="19" spans="1:16" ht="18.75" hidden="1" x14ac:dyDescent="0.25">
      <c r="A19" s="25"/>
      <c r="B19" s="26"/>
      <c r="C19" s="26"/>
      <c r="D19" s="26"/>
      <c r="E19" s="34" t="s">
        <v>18</v>
      </c>
      <c r="F19" s="26"/>
      <c r="G19" s="29"/>
      <c r="H19" s="35" t="s">
        <v>12</v>
      </c>
      <c r="I19" s="31"/>
      <c r="J19" s="31"/>
      <c r="K19" s="32"/>
      <c r="L19" s="36">
        <f>L22+L25</f>
        <v>0</v>
      </c>
      <c r="M19" s="36">
        <f>M22+M25</f>
        <v>0</v>
      </c>
      <c r="N19" s="36">
        <f>N22+N25</f>
        <v>0</v>
      </c>
      <c r="O19" s="36">
        <f>IF(L19&gt;0,N19*100/L19,0)</f>
        <v>0</v>
      </c>
      <c r="P19" s="36">
        <f>IF(M19&gt;0,N19*100/M19,0)</f>
        <v>0</v>
      </c>
    </row>
    <row r="20" spans="1:16" ht="18.75" x14ac:dyDescent="0.25">
      <c r="A20" s="25"/>
      <c r="B20" s="26"/>
      <c r="C20" s="26"/>
      <c r="D20" s="26"/>
      <c r="E20" s="37" t="s">
        <v>19</v>
      </c>
      <c r="F20" s="26"/>
      <c r="G20" s="29"/>
      <c r="H20" s="38" t="s">
        <v>12</v>
      </c>
      <c r="I20" s="31"/>
      <c r="J20" s="31"/>
      <c r="K20" s="32"/>
      <c r="L20" s="39">
        <f ca="1">L23+L26</f>
        <v>1968920</v>
      </c>
      <c r="M20" s="39">
        <f ca="1">M23+M26</f>
        <v>1595980</v>
      </c>
      <c r="N20" s="39">
        <f ca="1">N23+N26</f>
        <v>547790.18999999994</v>
      </c>
      <c r="O20" s="39">
        <f ca="1">IF(L20&gt;0,N20*100/L20,0)</f>
        <v>27.821861223411815</v>
      </c>
      <c r="P20" s="39">
        <f ca="1">IF(M20&gt;0,N20*100/M20,0)</f>
        <v>34.323123723354925</v>
      </c>
    </row>
    <row r="21" spans="1:16" ht="18.75" x14ac:dyDescent="0.25">
      <c r="A21" s="40"/>
      <c r="B21" s="41"/>
      <c r="C21" s="41"/>
      <c r="D21" s="42" t="s">
        <v>20</v>
      </c>
      <c r="E21" s="41"/>
      <c r="F21" s="41"/>
      <c r="G21" s="43"/>
      <c r="H21" s="44" t="s">
        <v>12</v>
      </c>
      <c r="I21" s="45"/>
      <c r="J21" s="45"/>
      <c r="K21" s="46"/>
      <c r="L21" s="47">
        <f ca="1">L22+L23</f>
        <v>1968920</v>
      </c>
      <c r="M21" s="47">
        <f ca="1">M22+M23</f>
        <v>1595980</v>
      </c>
      <c r="N21" s="47">
        <f ca="1">N22+N23</f>
        <v>547790.18999999994</v>
      </c>
      <c r="O21" s="47">
        <f ca="1">IF(L21&gt;0,N21*100/L21,0)</f>
        <v>27.821861223411815</v>
      </c>
      <c r="P21" s="47">
        <f ca="1">IF(M21&gt;0,N21*100/M21,0)</f>
        <v>34.323123723354925</v>
      </c>
    </row>
    <row r="22" spans="1:16" ht="18.75" hidden="1" x14ac:dyDescent="0.25">
      <c r="A22" s="40"/>
      <c r="B22" s="41"/>
      <c r="C22" s="41"/>
      <c r="D22" s="41"/>
      <c r="E22" s="279" t="s">
        <v>18</v>
      </c>
      <c r="F22" s="41"/>
      <c r="G22" s="43"/>
      <c r="H22" s="49" t="s">
        <v>12</v>
      </c>
      <c r="I22" s="45"/>
      <c r="J22" s="45"/>
      <c r="K22" s="46"/>
      <c r="L22" s="50">
        <f>L48+L63+L76+L98+L129+L143+L161+L190+L177+L270+L286+L307+L324+L337+L360+L381</f>
        <v>0</v>
      </c>
      <c r="M22" s="50">
        <f>M48+M63+M76+M98+M129+M143+M161+M190+M177+M270+M286+M307+M324+M337+M360+M381</f>
        <v>0</v>
      </c>
      <c r="N22" s="50">
        <f>N48+N63+N76+N98+N129+N143+N161+N190+N177+N270+N286+N307+N324+N337+N360+N381</f>
        <v>0</v>
      </c>
      <c r="O22" s="50">
        <f>IF(L22&gt;0,N22*100/L22,0)</f>
        <v>0</v>
      </c>
      <c r="P22" s="50">
        <f>IF(M22&gt;0,N22*100/M22,0)</f>
        <v>0</v>
      </c>
    </row>
    <row r="23" spans="1:16" ht="18.75" x14ac:dyDescent="0.25">
      <c r="A23" s="40"/>
      <c r="B23" s="41"/>
      <c r="C23" s="41"/>
      <c r="D23" s="41"/>
      <c r="E23" s="254" t="s">
        <v>19</v>
      </c>
      <c r="F23" s="41"/>
      <c r="G23" s="43"/>
      <c r="H23" s="44" t="s">
        <v>12</v>
      </c>
      <c r="I23" s="45"/>
      <c r="J23" s="45"/>
      <c r="K23" s="46"/>
      <c r="L23" s="47">
        <f ca="1">L49+L64+L77+L99+L130+L144+L162+L191+L178+L271+L287+L308+L325+L338+L361+L382</f>
        <v>1968920</v>
      </c>
      <c r="M23" s="47">
        <f ca="1">M49+M64+M77+M99+M130+M144+M162+M191+M178+M271+M287+M308+M325+M338+M361+M382</f>
        <v>1595980</v>
      </c>
      <c r="N23" s="47">
        <f ca="1">N49+N64+N77+N99+N130+N144+N162+N191+N178+N271+N287+N308+N325+N338+N361+N382</f>
        <v>547790.18999999994</v>
      </c>
      <c r="O23" s="47">
        <f ca="1">IF(L23&gt;0,N23*100/L23,0)</f>
        <v>27.821861223411815</v>
      </c>
      <c r="P23" s="47">
        <f ca="1">IF(M23&gt;0,N23*100/M23,0)</f>
        <v>34.323123723354925</v>
      </c>
    </row>
    <row r="24" spans="1:16" ht="18.75" x14ac:dyDescent="0.25">
      <c r="A24" s="40"/>
      <c r="B24" s="41"/>
      <c r="C24" s="41"/>
      <c r="D24" s="42" t="s">
        <v>21</v>
      </c>
      <c r="E24" s="41"/>
      <c r="F24" s="41"/>
      <c r="G24" s="43"/>
      <c r="H24" s="44" t="s">
        <v>12</v>
      </c>
      <c r="I24" s="45"/>
      <c r="J24" s="45"/>
      <c r="K24" s="46"/>
      <c r="L24" s="47">
        <f ca="1">L25+L26</f>
        <v>0</v>
      </c>
      <c r="M24" s="47">
        <f ca="1">M25+M26</f>
        <v>0</v>
      </c>
      <c r="N24" s="47">
        <f ca="1">N25+N26</f>
        <v>0</v>
      </c>
      <c r="O24" s="47">
        <f ca="1">IF(L24&gt;0,N24*100/L24,0)</f>
        <v>0</v>
      </c>
      <c r="P24" s="47">
        <f ca="1">IF(M24&gt;0,N24*100/M24,0)</f>
        <v>0</v>
      </c>
    </row>
    <row r="25" spans="1:16" ht="18.75" hidden="1" x14ac:dyDescent="0.25">
      <c r="A25" s="40"/>
      <c r="B25" s="41"/>
      <c r="C25" s="41"/>
      <c r="D25" s="41"/>
      <c r="E25" s="279" t="s">
        <v>18</v>
      </c>
      <c r="F25" s="41"/>
      <c r="G25" s="43"/>
      <c r="H25" s="49" t="s">
        <v>12</v>
      </c>
      <c r="I25" s="45"/>
      <c r="J25" s="45"/>
      <c r="K25" s="46"/>
      <c r="L25" s="50">
        <f>L51+L66+L79+L101+L132+L146+L164+L193+L180+L273+L289+L310+L327+L340+L363+L384</f>
        <v>0</v>
      </c>
      <c r="M25" s="50">
        <f>M51+M66+M79+M101+M132+M146+M164+M193+M180+M273+M289+M310+M327+M340+M363+M384</f>
        <v>0</v>
      </c>
      <c r="N25" s="50">
        <f>N51+N66+N79+N101+N132+N146+N164+N193+N180+N273+N289+N310+N327+N340+N363+N384</f>
        <v>0</v>
      </c>
      <c r="O25" s="50">
        <f>IF(L25&gt;0,N25*100/L25,0)</f>
        <v>0</v>
      </c>
      <c r="P25" s="50">
        <f>IF(M25&gt;0,N25*100/M25,0)</f>
        <v>0</v>
      </c>
    </row>
    <row r="26" spans="1:16" ht="18.75" x14ac:dyDescent="0.25">
      <c r="A26" s="40"/>
      <c r="B26" s="41"/>
      <c r="C26" s="41"/>
      <c r="D26" s="41"/>
      <c r="E26" s="254" t="s">
        <v>19</v>
      </c>
      <c r="F26" s="41"/>
      <c r="G26" s="43"/>
      <c r="H26" s="44" t="s">
        <v>12</v>
      </c>
      <c r="I26" s="45"/>
      <c r="J26" s="45"/>
      <c r="K26" s="46"/>
      <c r="L26" s="47">
        <f ca="1">L52+L67+L80+L102+L133+L147+L165+L194+L181+L274+L290+L311+L328+L341+L364+L385</f>
        <v>0</v>
      </c>
      <c r="M26" s="47">
        <f ca="1">M52+M67+M80+M102+M133+M147+M165+M194+M181+M274+M290+M311+M328+M341+M364+M385</f>
        <v>0</v>
      </c>
      <c r="N26" s="47">
        <f ca="1">N52+N67+N80+N102+N133+N147+N165+N194+N181+N274+N290+N311+N328+N341+N364+N385</f>
        <v>0</v>
      </c>
      <c r="O26" s="47">
        <f ca="1">IF(L26&gt;0,N26*100/L26,0)</f>
        <v>0</v>
      </c>
      <c r="P26" s="47">
        <f ca="1">IF(M26&gt;0,N26*100/M26,0)</f>
        <v>0</v>
      </c>
    </row>
    <row r="27" spans="1:16" ht="18.75" hidden="1" x14ac:dyDescent="0.25">
      <c r="A27" s="40"/>
      <c r="B27" s="41"/>
      <c r="C27" s="41"/>
      <c r="D27" s="42" t="s">
        <v>22</v>
      </c>
      <c r="E27" s="41"/>
      <c r="F27" s="41"/>
      <c r="G27" s="43"/>
      <c r="H27" s="44" t="s">
        <v>12</v>
      </c>
      <c r="I27" s="45"/>
      <c r="J27" s="45"/>
      <c r="K27" s="46"/>
      <c r="L27" s="47"/>
      <c r="M27" s="47"/>
      <c r="N27" s="47"/>
      <c r="O27" s="47"/>
      <c r="P27" s="47"/>
    </row>
    <row r="28" spans="1:16" ht="18.75" hidden="1" x14ac:dyDescent="0.25">
      <c r="A28" s="40"/>
      <c r="B28" s="41"/>
      <c r="C28" s="41"/>
      <c r="D28" s="41"/>
      <c r="E28" s="279" t="s">
        <v>18</v>
      </c>
      <c r="F28" s="41"/>
      <c r="G28" s="43"/>
      <c r="H28" s="49" t="s">
        <v>12</v>
      </c>
      <c r="I28" s="45"/>
      <c r="J28" s="45"/>
      <c r="K28" s="46"/>
      <c r="L28" s="50"/>
      <c r="M28" s="50"/>
      <c r="N28" s="50"/>
      <c r="O28" s="50"/>
      <c r="P28" s="50"/>
    </row>
    <row r="29" spans="1:16" ht="18.75" hidden="1" x14ac:dyDescent="0.25">
      <c r="A29" s="52"/>
      <c r="B29" s="1"/>
      <c r="C29" s="1"/>
      <c r="D29" s="1"/>
      <c r="E29" s="53" t="s">
        <v>19</v>
      </c>
      <c r="F29" s="1"/>
      <c r="G29" s="54"/>
      <c r="H29" s="55" t="s">
        <v>12</v>
      </c>
      <c r="I29" s="56"/>
      <c r="J29" s="56"/>
      <c r="K29" s="57"/>
      <c r="L29" s="58"/>
      <c r="M29" s="58"/>
      <c r="N29" s="58"/>
      <c r="O29" s="58"/>
      <c r="P29" s="58"/>
    </row>
    <row r="30" spans="1:16" ht="12.75" hidden="1" x14ac:dyDescent="0.2">
      <c r="A30" s="381"/>
      <c r="B30" s="379"/>
      <c r="C30" s="379"/>
      <c r="D30" s="379"/>
      <c r="E30" s="379"/>
      <c r="F30" s="379"/>
      <c r="G30" s="380"/>
      <c r="H30" s="12"/>
      <c r="I30" s="13"/>
      <c r="J30" s="13"/>
      <c r="K30" s="14"/>
      <c r="L30" s="14"/>
      <c r="M30" s="14"/>
      <c r="N30" s="14"/>
      <c r="O30" s="14"/>
      <c r="P30" s="14"/>
    </row>
    <row r="31" spans="1:16" ht="12.75" hidden="1" x14ac:dyDescent="0.2">
      <c r="A31" s="15"/>
      <c r="B31" s="16"/>
      <c r="C31" s="16"/>
      <c r="D31" s="16"/>
      <c r="E31" s="16"/>
      <c r="F31" s="16"/>
      <c r="G31" s="17"/>
      <c r="H31" s="17"/>
      <c r="I31" s="18"/>
      <c r="J31" s="18"/>
      <c r="K31" s="19"/>
      <c r="L31" s="19"/>
      <c r="M31" s="19"/>
      <c r="N31" s="19"/>
      <c r="O31" s="19"/>
      <c r="P31" s="19"/>
    </row>
    <row r="32" spans="1:16" ht="12.75" hidden="1" x14ac:dyDescent="0.2">
      <c r="A32" s="15"/>
      <c r="B32" s="16"/>
      <c r="C32" s="16"/>
      <c r="D32" s="16"/>
      <c r="E32" s="16"/>
      <c r="F32" s="16"/>
      <c r="G32" s="17"/>
      <c r="H32" s="17"/>
      <c r="I32" s="18"/>
      <c r="J32" s="18"/>
      <c r="K32" s="19"/>
      <c r="L32" s="19"/>
      <c r="M32" s="19"/>
      <c r="N32" s="19"/>
      <c r="O32" s="19"/>
      <c r="P32" s="19"/>
    </row>
    <row r="33" spans="1:16" ht="12.75" hidden="1" x14ac:dyDescent="0.2">
      <c r="A33" s="15"/>
      <c r="B33" s="16"/>
      <c r="C33" s="16"/>
      <c r="D33" s="16"/>
      <c r="E33" s="16"/>
      <c r="F33" s="16"/>
      <c r="G33" s="17"/>
      <c r="H33" s="17"/>
      <c r="I33" s="18"/>
      <c r="J33" s="18"/>
      <c r="K33" s="19"/>
      <c r="L33" s="19"/>
      <c r="M33" s="19"/>
      <c r="N33" s="19"/>
      <c r="O33" s="19"/>
      <c r="P33" s="19"/>
    </row>
    <row r="34" spans="1:16" ht="12.75" hidden="1" x14ac:dyDescent="0.2">
      <c r="A34" s="15"/>
      <c r="B34" s="16"/>
      <c r="C34" s="16"/>
      <c r="D34" s="16"/>
      <c r="E34" s="16"/>
      <c r="F34" s="16"/>
      <c r="G34" s="17"/>
      <c r="H34" s="17"/>
      <c r="I34" s="18"/>
      <c r="J34" s="18"/>
      <c r="K34" s="19"/>
      <c r="L34" s="19"/>
      <c r="M34" s="19"/>
      <c r="N34" s="19"/>
      <c r="O34" s="19"/>
      <c r="P34" s="19"/>
    </row>
    <row r="35" spans="1:16" ht="12.75" hidden="1" x14ac:dyDescent="0.2">
      <c r="A35" s="15"/>
      <c r="B35" s="16"/>
      <c r="C35" s="16"/>
      <c r="D35" s="16"/>
      <c r="E35" s="16"/>
      <c r="F35" s="16"/>
      <c r="G35" s="17"/>
      <c r="H35" s="17"/>
      <c r="I35" s="18"/>
      <c r="J35" s="18"/>
      <c r="K35" s="19"/>
      <c r="L35" s="19"/>
      <c r="M35" s="19"/>
      <c r="N35" s="19"/>
      <c r="O35" s="19"/>
      <c r="P35" s="19"/>
    </row>
    <row r="36" spans="1:16" ht="12.75" hidden="1" x14ac:dyDescent="0.2">
      <c r="A36" s="15"/>
      <c r="B36" s="16"/>
      <c r="C36" s="16"/>
      <c r="D36" s="16"/>
      <c r="E36" s="16"/>
      <c r="F36" s="16"/>
      <c r="G36" s="17"/>
      <c r="H36" s="17"/>
      <c r="I36" s="18"/>
      <c r="J36" s="18"/>
      <c r="K36" s="19"/>
      <c r="L36" s="19"/>
      <c r="M36" s="19"/>
      <c r="N36" s="19"/>
      <c r="O36" s="19"/>
      <c r="P36" s="19"/>
    </row>
    <row r="37" spans="1:16" ht="12.75" hidden="1" x14ac:dyDescent="0.2">
      <c r="A37" s="15"/>
      <c r="B37" s="16"/>
      <c r="C37" s="16"/>
      <c r="D37" s="16"/>
      <c r="E37" s="16"/>
      <c r="F37" s="16"/>
      <c r="G37" s="17"/>
      <c r="H37" s="17"/>
      <c r="I37" s="18"/>
      <c r="J37" s="18"/>
      <c r="K37" s="19"/>
      <c r="L37" s="19"/>
      <c r="M37" s="19"/>
      <c r="N37" s="19"/>
      <c r="O37" s="19"/>
      <c r="P37" s="19"/>
    </row>
    <row r="38" spans="1:16" ht="12.75" hidden="1" x14ac:dyDescent="0.2">
      <c r="A38" s="15"/>
      <c r="B38" s="16"/>
      <c r="C38" s="16"/>
      <c r="D38" s="16"/>
      <c r="E38" s="16"/>
      <c r="F38" s="16"/>
      <c r="G38" s="17"/>
      <c r="H38" s="17"/>
      <c r="I38" s="18"/>
      <c r="J38" s="18"/>
      <c r="K38" s="19"/>
      <c r="L38" s="19"/>
      <c r="M38" s="19"/>
      <c r="N38" s="19"/>
      <c r="O38" s="19"/>
      <c r="P38" s="19"/>
    </row>
    <row r="39" spans="1:16" ht="12.75" hidden="1" x14ac:dyDescent="0.2">
      <c r="A39" s="20"/>
      <c r="B39" s="21"/>
      <c r="C39" s="21"/>
      <c r="D39" s="21"/>
      <c r="E39" s="21"/>
      <c r="F39" s="21"/>
      <c r="G39" s="12"/>
      <c r="H39" s="12"/>
      <c r="I39" s="13"/>
      <c r="J39" s="13"/>
      <c r="K39" s="14"/>
      <c r="L39" s="14"/>
      <c r="M39" s="14"/>
      <c r="N39" s="14"/>
      <c r="O39" s="14"/>
      <c r="P39" s="14"/>
    </row>
    <row r="40" spans="1:16" ht="19.5" hidden="1" x14ac:dyDescent="0.3">
      <c r="A40" s="59" t="s">
        <v>23</v>
      </c>
      <c r="B40" s="60"/>
      <c r="C40" s="60"/>
      <c r="D40" s="60"/>
      <c r="E40" s="60"/>
      <c r="F40" s="60"/>
      <c r="G40" s="61"/>
      <c r="H40" s="61"/>
      <c r="I40" s="62"/>
      <c r="J40" s="62"/>
      <c r="K40" s="63"/>
      <c r="L40" s="64">
        <f ca="1">L44+L59+L72+L94+L125+L139+L157+L173+L186+L266+L282+L303+L320+L333+L356</f>
        <v>1968920</v>
      </c>
      <c r="M40" s="64">
        <f ca="1">M44+M59+M72+M94+M125+M139+M157+M173+M186+M266+M282+M303+M320+M333+M356</f>
        <v>1595980</v>
      </c>
      <c r="N40" s="64">
        <f ca="1">N44+N59+N72+N94+N125+N139+N157+N173+N186+N266+N282+N303+N320+N333+N356</f>
        <v>547790.18999999994</v>
      </c>
      <c r="O40" s="64">
        <f ca="1">IF(L40&gt;0,N40*100/L40,0)</f>
        <v>27.821861223411815</v>
      </c>
      <c r="P40" s="64">
        <f ca="1">IF(M40&gt;0,N40*100/M40,0)</f>
        <v>34.323123723354925</v>
      </c>
    </row>
    <row r="41" spans="1:16" ht="19.5" x14ac:dyDescent="0.3">
      <c r="A41" s="65" t="s">
        <v>24</v>
      </c>
      <c r="B41" s="66"/>
      <c r="C41" s="66"/>
      <c r="D41" s="66"/>
      <c r="E41" s="66"/>
      <c r="F41" s="66"/>
      <c r="G41" s="66"/>
      <c r="H41" s="66"/>
      <c r="I41" s="67"/>
      <c r="J41" s="67"/>
      <c r="K41" s="68"/>
      <c r="L41" s="68"/>
      <c r="M41" s="68"/>
      <c r="N41" s="68"/>
      <c r="O41" s="68"/>
      <c r="P41" s="69"/>
    </row>
    <row r="42" spans="1:16" ht="19.5" x14ac:dyDescent="0.3">
      <c r="A42" s="70"/>
      <c r="B42" s="71" t="s">
        <v>25</v>
      </c>
      <c r="C42" s="70"/>
      <c r="D42" s="70"/>
      <c r="E42" s="70"/>
      <c r="F42" s="70"/>
      <c r="G42" s="72"/>
      <c r="H42" s="72"/>
      <c r="I42" s="73"/>
      <c r="J42" s="73"/>
      <c r="K42" s="74"/>
      <c r="L42" s="74"/>
      <c r="M42" s="74"/>
      <c r="N42" s="74"/>
      <c r="O42" s="74"/>
      <c r="P42" s="74"/>
    </row>
    <row r="43" spans="1:16" ht="12.75" hidden="1" x14ac:dyDescent="0.2">
      <c r="A43" s="15"/>
      <c r="B43" s="16"/>
      <c r="C43" s="16"/>
      <c r="D43" s="16"/>
      <c r="E43" s="16"/>
      <c r="F43" s="16"/>
      <c r="G43" s="17"/>
      <c r="H43" s="17"/>
      <c r="I43" s="18"/>
      <c r="J43" s="18"/>
      <c r="K43" s="19"/>
      <c r="L43" s="19"/>
      <c r="M43" s="19"/>
      <c r="N43" s="19"/>
      <c r="O43" s="19"/>
      <c r="P43" s="19"/>
    </row>
    <row r="44" spans="1:16" ht="19.5" x14ac:dyDescent="0.3">
      <c r="A44" s="75"/>
      <c r="B44" s="76"/>
      <c r="C44" s="77" t="s">
        <v>16</v>
      </c>
      <c r="D44" s="404" t="s">
        <v>17</v>
      </c>
      <c r="E44" s="76"/>
      <c r="F44" s="76"/>
      <c r="G44" s="79"/>
      <c r="H44" s="80" t="s">
        <v>12</v>
      </c>
      <c r="I44" s="81"/>
      <c r="J44" s="81"/>
      <c r="K44" s="82"/>
      <c r="L44" s="83">
        <f ca="1">L45+L46</f>
        <v>332950</v>
      </c>
      <c r="M44" s="83">
        <f ca="1">M45+M46</f>
        <v>332950</v>
      </c>
      <c r="N44" s="83">
        <f ca="1">N45+N46</f>
        <v>111750</v>
      </c>
      <c r="O44" s="83">
        <f ca="1">IF(L44&gt;0,N44*100/L44,0)</f>
        <v>33.563598137858534</v>
      </c>
      <c r="P44" s="83">
        <f ca="1">IF(M44&gt;0,N44*100/M44,0)</f>
        <v>33.563598137858534</v>
      </c>
    </row>
    <row r="45" spans="1:16" ht="18.75" hidden="1" x14ac:dyDescent="0.25">
      <c r="A45" s="75"/>
      <c r="B45" s="76"/>
      <c r="C45" s="76"/>
      <c r="D45" s="76"/>
      <c r="E45" s="84" t="s">
        <v>18</v>
      </c>
      <c r="F45" s="76"/>
      <c r="G45" s="79"/>
      <c r="H45" s="85" t="s">
        <v>12</v>
      </c>
      <c r="I45" s="81"/>
      <c r="J45" s="81"/>
      <c r="K45" s="82"/>
      <c r="L45" s="86">
        <f>L48+L51</f>
        <v>0</v>
      </c>
      <c r="M45" s="86">
        <f>M48+M51</f>
        <v>0</v>
      </c>
      <c r="N45" s="86">
        <f>N48+N51</f>
        <v>0</v>
      </c>
      <c r="O45" s="86">
        <f>IF(L45&gt;0,N45*100/L45,0)</f>
        <v>0</v>
      </c>
      <c r="P45" s="86">
        <f>IF(M45&gt;0,N45*100/M45,0)</f>
        <v>0</v>
      </c>
    </row>
    <row r="46" spans="1:16" ht="18.75" x14ac:dyDescent="0.25">
      <c r="A46" s="75"/>
      <c r="B46" s="76"/>
      <c r="C46" s="76"/>
      <c r="D46" s="76"/>
      <c r="E46" s="87" t="s">
        <v>19</v>
      </c>
      <c r="F46" s="76"/>
      <c r="G46" s="79"/>
      <c r="H46" s="88" t="s">
        <v>12</v>
      </c>
      <c r="I46" s="81"/>
      <c r="J46" s="81"/>
      <c r="K46" s="82"/>
      <c r="L46" s="89">
        <f ca="1">L49+L52</f>
        <v>332950</v>
      </c>
      <c r="M46" s="89">
        <f ca="1">M49+M52</f>
        <v>332950</v>
      </c>
      <c r="N46" s="89">
        <f ca="1">N49+N52</f>
        <v>111750</v>
      </c>
      <c r="O46" s="89">
        <f ca="1">IF(L46&gt;0,N46*100/L46,0)</f>
        <v>33.563598137858534</v>
      </c>
      <c r="P46" s="89">
        <f ca="1">IF(M46&gt;0,N46*100/M46,0)</f>
        <v>33.563598137858534</v>
      </c>
    </row>
    <row r="47" spans="1:16" ht="18.75" x14ac:dyDescent="0.25">
      <c r="A47" s="40"/>
      <c r="B47" s="41"/>
      <c r="C47" s="41"/>
      <c r="D47" s="42" t="s">
        <v>20</v>
      </c>
      <c r="E47" s="41"/>
      <c r="F47" s="41"/>
      <c r="G47" s="43"/>
      <c r="H47" s="44" t="s">
        <v>12</v>
      </c>
      <c r="I47" s="45"/>
      <c r="J47" s="45"/>
      <c r="K47" s="46"/>
      <c r="L47" s="47">
        <f ca="1">L48+L49</f>
        <v>332950</v>
      </c>
      <c r="M47" s="47">
        <f ca="1">M48+M49</f>
        <v>332950</v>
      </c>
      <c r="N47" s="47">
        <f ca="1">N48+N49</f>
        <v>111750</v>
      </c>
      <c r="O47" s="47">
        <f ca="1">IF(L47&gt;0,N47*100/L47,0)</f>
        <v>33.563598137858534</v>
      </c>
      <c r="P47" s="47">
        <f ca="1">IF(M47&gt;0,N47*100/M47,0)</f>
        <v>33.563598137858534</v>
      </c>
    </row>
    <row r="48" spans="1:16" ht="18.75" hidden="1" x14ac:dyDescent="0.25">
      <c r="A48" s="40"/>
      <c r="B48" s="41"/>
      <c r="C48" s="41"/>
      <c r="D48" s="41"/>
      <c r="E48" s="279" t="s">
        <v>18</v>
      </c>
      <c r="F48" s="41"/>
      <c r="G48" s="43"/>
      <c r="H48" s="49" t="s">
        <v>12</v>
      </c>
      <c r="I48" s="45"/>
      <c r="J48" s="45"/>
      <c r="K48" s="46"/>
      <c r="L48" s="50">
        <v>0</v>
      </c>
      <c r="M48" s="50">
        <v>0</v>
      </c>
      <c r="N48" s="50">
        <v>0</v>
      </c>
      <c r="O48" s="50">
        <f>IF(L48&gt;0,N48*100/L48,0)</f>
        <v>0</v>
      </c>
      <c r="P48" s="50">
        <f>IF(M48&gt;0,N48*100/M48,0)</f>
        <v>0</v>
      </c>
    </row>
    <row r="49" spans="1:16" ht="18.75" x14ac:dyDescent="0.25">
      <c r="A49" s="40"/>
      <c r="B49" s="41"/>
      <c r="C49" s="41"/>
      <c r="D49" s="41"/>
      <c r="E49" s="254" t="s">
        <v>19</v>
      </c>
      <c r="F49" s="41"/>
      <c r="G49" s="43"/>
      <c r="H49" s="44" t="s">
        <v>12</v>
      </c>
      <c r="I49" s="45"/>
      <c r="J49" s="45"/>
      <c r="K49" s="46"/>
      <c r="L49" s="47">
        <f ca="1">IFERROR(__xludf.DUMMYFUNCTION("IMPORTRANGE(""https://docs.google.com/spreadsheets/d/1-uDff_7J0KD5mKrp0Vvzr7lt3OU09vwQwhkpOPPYv2Y/edit?usp=sharing"",""งบพรบ!P29"")"),332950)</f>
        <v>332950</v>
      </c>
      <c r="M49" s="47">
        <f ca="1">IFERROR(__xludf.DUMMYFUNCTION("IMPORTRANGE(""https://docs.google.com/spreadsheets/d/1-uDff_7J0KD5mKrp0Vvzr7lt3OU09vwQwhkpOPPYv2Y/edit?usp=sharing"",""งบพรบ!V29"")"),332950)</f>
        <v>332950</v>
      </c>
      <c r="N49" s="47">
        <f ca="1">IFERROR(__xludf.DUMMYFUNCTION("IMPORTRANGE(""https://docs.google.com/spreadsheets/d/1-uDff_7J0KD5mKrp0Vvzr7lt3OU09vwQwhkpOPPYv2Y/edit?usp=sharing"",""งบพรบ!Y29"")"),111750)</f>
        <v>111750</v>
      </c>
      <c r="O49" s="47">
        <f ca="1">IF(L49&gt;0,N49*100/L49,0)</f>
        <v>33.563598137858534</v>
      </c>
      <c r="P49" s="47">
        <f ca="1">IF(M49&gt;0,N49*100/M49,0)</f>
        <v>33.563598137858534</v>
      </c>
    </row>
    <row r="50" spans="1:16" ht="18.75" x14ac:dyDescent="0.25">
      <c r="A50" s="40"/>
      <c r="B50" s="41"/>
      <c r="C50" s="41"/>
      <c r="D50" s="42" t="s">
        <v>21</v>
      </c>
      <c r="E50" s="41"/>
      <c r="F50" s="41"/>
      <c r="G50" s="43"/>
      <c r="H50" s="44" t="s">
        <v>12</v>
      </c>
      <c r="I50" s="45"/>
      <c r="J50" s="45"/>
      <c r="K50" s="46"/>
      <c r="L50" s="47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</row>
    <row r="51" spans="1:16" ht="18.75" hidden="1" x14ac:dyDescent="0.25">
      <c r="A51" s="40"/>
      <c r="B51" s="41"/>
      <c r="C51" s="41"/>
      <c r="D51" s="41"/>
      <c r="E51" s="279" t="s">
        <v>18</v>
      </c>
      <c r="F51" s="41"/>
      <c r="G51" s="43"/>
      <c r="H51" s="49" t="s">
        <v>12</v>
      </c>
      <c r="I51" s="45"/>
      <c r="J51" s="45"/>
      <c r="K51" s="46"/>
      <c r="L51" s="50">
        <v>0</v>
      </c>
      <c r="M51" s="50">
        <v>0</v>
      </c>
      <c r="N51" s="50">
        <v>0</v>
      </c>
      <c r="O51" s="50">
        <f>IF(L51&gt;0,N51*100/L51,0)</f>
        <v>0</v>
      </c>
      <c r="P51" s="50">
        <f>IF(M51&gt;0,N51*100/M51,0)</f>
        <v>0</v>
      </c>
    </row>
    <row r="52" spans="1:16" ht="18.75" x14ac:dyDescent="0.25">
      <c r="A52" s="40"/>
      <c r="B52" s="41"/>
      <c r="C52" s="41"/>
      <c r="D52" s="41"/>
      <c r="E52" s="254" t="s">
        <v>19</v>
      </c>
      <c r="F52" s="41"/>
      <c r="G52" s="43"/>
      <c r="H52" s="44" t="s">
        <v>12</v>
      </c>
      <c r="I52" s="45"/>
      <c r="J52" s="45"/>
      <c r="K52" s="46"/>
      <c r="L52" s="47">
        <f ca="1">IFERROR(__xludf.DUMMYFUNCTION("IMPORTRANGE(""https://docs.google.com/spreadsheets/d/1-uDff_7J0KD5mKrp0Vvzr7lt3OU09vwQwhkpOPPYv2Y/edit?usp=sharing"",""งบพรบ!S29"")"),0)</f>
        <v>0</v>
      </c>
      <c r="M52" s="47">
        <f ca="1">IFERROR(__xludf.DUMMYFUNCTION("IMPORTRANGE(""https://docs.google.com/spreadsheets/d/1-uDff_7J0KD5mKrp0Vvzr7lt3OU09vwQwhkpOPPYv2Y/edit?usp=sharing"",""งบพรบ!W29"")"),0)</f>
        <v>0</v>
      </c>
      <c r="N52" s="47">
        <f ca="1">IFERROR(__xludf.DUMMYFUNCTION("IMPORTRANGE(""https://docs.google.com/spreadsheets/d/1-uDff_7J0KD5mKrp0Vvzr7lt3OU09vwQwhkpOPPYv2Y/edit?usp=sharing"",""งบพรบ!Z29"")"),0)</f>
        <v>0</v>
      </c>
      <c r="O52" s="47">
        <f ca="1">IF(L52&gt;0,N52*100/L52,0)</f>
        <v>0</v>
      </c>
      <c r="P52" s="47">
        <f ca="1">IF(M52&gt;0,N52*100/M52,0)</f>
        <v>0</v>
      </c>
    </row>
    <row r="53" spans="1:16" ht="18.75" hidden="1" x14ac:dyDescent="0.25">
      <c r="A53" s="40"/>
      <c r="B53" s="41"/>
      <c r="C53" s="41"/>
      <c r="D53" s="42" t="s">
        <v>22</v>
      </c>
      <c r="E53" s="41"/>
      <c r="F53" s="41"/>
      <c r="G53" s="43"/>
      <c r="H53" s="44" t="s">
        <v>12</v>
      </c>
      <c r="I53" s="45"/>
      <c r="J53" s="45"/>
      <c r="K53" s="46"/>
      <c r="L53" s="47"/>
      <c r="M53" s="47"/>
      <c r="N53" s="47"/>
      <c r="O53" s="47"/>
      <c r="P53" s="47"/>
    </row>
    <row r="54" spans="1:16" ht="18.75" hidden="1" x14ac:dyDescent="0.25">
      <c r="A54" s="40"/>
      <c r="B54" s="41"/>
      <c r="C54" s="41"/>
      <c r="D54" s="41"/>
      <c r="E54" s="279" t="s">
        <v>18</v>
      </c>
      <c r="F54" s="41"/>
      <c r="G54" s="43"/>
      <c r="H54" s="49" t="s">
        <v>12</v>
      </c>
      <c r="I54" s="45"/>
      <c r="J54" s="45"/>
      <c r="K54" s="46"/>
      <c r="L54" s="50"/>
      <c r="M54" s="50"/>
      <c r="N54" s="50"/>
      <c r="O54" s="50"/>
      <c r="P54" s="50"/>
    </row>
    <row r="55" spans="1:16" ht="18.75" hidden="1" x14ac:dyDescent="0.25">
      <c r="A55" s="52"/>
      <c r="B55" s="1"/>
      <c r="C55" s="1"/>
      <c r="D55" s="1"/>
      <c r="E55" s="53" t="s">
        <v>19</v>
      </c>
      <c r="F55" s="1"/>
      <c r="G55" s="54"/>
      <c r="H55" s="55" t="s">
        <v>12</v>
      </c>
      <c r="I55" s="56"/>
      <c r="J55" s="56"/>
      <c r="K55" s="57"/>
      <c r="L55" s="58"/>
      <c r="M55" s="58"/>
      <c r="N55" s="58"/>
      <c r="O55" s="58"/>
      <c r="P55" s="58"/>
    </row>
    <row r="56" spans="1:16" ht="19.5" x14ac:dyDescent="0.3">
      <c r="A56" s="382" t="s">
        <v>26</v>
      </c>
      <c r="B56" s="379"/>
      <c r="C56" s="379"/>
      <c r="D56" s="379"/>
      <c r="E56" s="379"/>
      <c r="F56" s="379"/>
      <c r="G56" s="380"/>
      <c r="H56" s="90"/>
      <c r="I56" s="91"/>
      <c r="J56" s="91"/>
      <c r="K56" s="92"/>
      <c r="L56" s="92"/>
      <c r="M56" s="92"/>
      <c r="N56" s="92"/>
      <c r="O56" s="92"/>
      <c r="P56" s="93"/>
    </row>
    <row r="57" spans="1:16" ht="19.5" x14ac:dyDescent="0.3">
      <c r="A57" s="94"/>
      <c r="B57" s="383" t="s">
        <v>27</v>
      </c>
      <c r="C57" s="384"/>
      <c r="D57" s="384"/>
      <c r="E57" s="384"/>
      <c r="F57" s="384"/>
      <c r="G57" s="385"/>
      <c r="H57" s="95"/>
      <c r="I57" s="96"/>
      <c r="J57" s="96"/>
      <c r="K57" s="97"/>
      <c r="L57" s="97"/>
      <c r="M57" s="97"/>
      <c r="N57" s="97"/>
      <c r="O57" s="97"/>
      <c r="P57" s="97"/>
    </row>
    <row r="58" spans="1:16" ht="19.5" x14ac:dyDescent="0.3">
      <c r="A58" s="98"/>
      <c r="B58" s="99" t="s">
        <v>28</v>
      </c>
      <c r="C58" s="100"/>
      <c r="D58" s="100"/>
      <c r="E58" s="100"/>
      <c r="F58" s="100"/>
      <c r="G58" s="101"/>
      <c r="H58" s="101"/>
      <c r="I58" s="102"/>
      <c r="J58" s="102"/>
      <c r="K58" s="103"/>
      <c r="L58" s="103"/>
      <c r="M58" s="103"/>
      <c r="N58" s="103"/>
      <c r="O58" s="103"/>
      <c r="P58" s="103"/>
    </row>
    <row r="59" spans="1:16" ht="19.5" x14ac:dyDescent="0.3">
      <c r="A59" s="104"/>
      <c r="B59" s="105"/>
      <c r="C59" s="106" t="s">
        <v>16</v>
      </c>
      <c r="D59" s="403" t="s">
        <v>17</v>
      </c>
      <c r="E59" s="105"/>
      <c r="F59" s="105"/>
      <c r="G59" s="108"/>
      <c r="H59" s="109" t="s">
        <v>12</v>
      </c>
      <c r="I59" s="110"/>
      <c r="J59" s="110"/>
      <c r="K59" s="111"/>
      <c r="L59" s="112">
        <f ca="1">L60+L61</f>
        <v>499600</v>
      </c>
      <c r="M59" s="112">
        <f ca="1">M60+M61</f>
        <v>376850</v>
      </c>
      <c r="N59" s="112">
        <f ca="1">N60+N61</f>
        <v>253068.56</v>
      </c>
      <c r="O59" s="112">
        <f ca="1">IF(L59&gt;0,N59*100/L59,0)</f>
        <v>50.654235388310646</v>
      </c>
      <c r="P59" s="112">
        <f ca="1">IF(M59&gt;0,N59*100/M59,0)</f>
        <v>67.153657954093134</v>
      </c>
    </row>
    <row r="60" spans="1:16" ht="18.75" hidden="1" x14ac:dyDescent="0.25">
      <c r="A60" s="104"/>
      <c r="B60" s="105"/>
      <c r="C60" s="105"/>
      <c r="D60" s="105"/>
      <c r="E60" s="113" t="s">
        <v>18</v>
      </c>
      <c r="F60" s="105"/>
      <c r="G60" s="108"/>
      <c r="H60" s="114" t="s">
        <v>12</v>
      </c>
      <c r="I60" s="110"/>
      <c r="J60" s="110"/>
      <c r="K60" s="111"/>
      <c r="L60" s="115">
        <f>L63+L66</f>
        <v>0</v>
      </c>
      <c r="M60" s="115">
        <f>M63+M66</f>
        <v>0</v>
      </c>
      <c r="N60" s="115">
        <f>N63+N66</f>
        <v>0</v>
      </c>
      <c r="O60" s="115">
        <f>IF(L60&gt;0,N60*100/L60,0)</f>
        <v>0</v>
      </c>
      <c r="P60" s="115">
        <f>IF(M60&gt;0,N60*100/M60,0)</f>
        <v>0</v>
      </c>
    </row>
    <row r="61" spans="1:16" ht="18.75" x14ac:dyDescent="0.25">
      <c r="A61" s="104"/>
      <c r="B61" s="105"/>
      <c r="C61" s="105"/>
      <c r="D61" s="105"/>
      <c r="E61" s="116" t="s">
        <v>19</v>
      </c>
      <c r="F61" s="105"/>
      <c r="G61" s="108"/>
      <c r="H61" s="117" t="s">
        <v>12</v>
      </c>
      <c r="I61" s="110"/>
      <c r="J61" s="110"/>
      <c r="K61" s="111"/>
      <c r="L61" s="118">
        <f ca="1">L64+L67</f>
        <v>499600</v>
      </c>
      <c r="M61" s="118">
        <f ca="1">M64+M67</f>
        <v>376850</v>
      </c>
      <c r="N61" s="118">
        <f ca="1">N64+N67</f>
        <v>253068.56</v>
      </c>
      <c r="O61" s="118">
        <f ca="1">IF(L61&gt;0,N61*100/L61,0)</f>
        <v>50.654235388310646</v>
      </c>
      <c r="P61" s="118">
        <f ca="1">IF(M61&gt;0,N61*100/M61,0)</f>
        <v>67.153657954093134</v>
      </c>
    </row>
    <row r="62" spans="1:16" ht="18.75" x14ac:dyDescent="0.25">
      <c r="A62" s="40"/>
      <c r="B62" s="41"/>
      <c r="C62" s="41"/>
      <c r="D62" s="42" t="s">
        <v>20</v>
      </c>
      <c r="E62" s="41"/>
      <c r="F62" s="41"/>
      <c r="G62" s="43"/>
      <c r="H62" s="44" t="s">
        <v>12</v>
      </c>
      <c r="I62" s="45"/>
      <c r="J62" s="45"/>
      <c r="K62" s="46"/>
      <c r="L62" s="47">
        <f ca="1">L63+L64</f>
        <v>499600</v>
      </c>
      <c r="M62" s="47">
        <f ca="1">M63+M64</f>
        <v>376850</v>
      </c>
      <c r="N62" s="47">
        <f ca="1">N63+N64</f>
        <v>253068.56</v>
      </c>
      <c r="O62" s="47">
        <f ca="1">IF(L62&gt;0,N62*100/L62,0)</f>
        <v>50.654235388310646</v>
      </c>
      <c r="P62" s="47">
        <f ca="1">IF(M62&gt;0,N62*100/M62,0)</f>
        <v>67.153657954093134</v>
      </c>
    </row>
    <row r="63" spans="1:16" ht="18.75" hidden="1" x14ac:dyDescent="0.25">
      <c r="A63" s="40"/>
      <c r="B63" s="41"/>
      <c r="C63" s="41"/>
      <c r="D63" s="41"/>
      <c r="E63" s="279" t="s">
        <v>18</v>
      </c>
      <c r="F63" s="41"/>
      <c r="G63" s="43"/>
      <c r="H63" s="49" t="s">
        <v>12</v>
      </c>
      <c r="I63" s="45"/>
      <c r="J63" s="45"/>
      <c r="K63" s="46"/>
      <c r="L63" s="50">
        <v>0</v>
      </c>
      <c r="M63" s="50">
        <v>0</v>
      </c>
      <c r="N63" s="50">
        <v>0</v>
      </c>
      <c r="O63" s="50">
        <f>IF(L63&gt;0,N63*100/L63,0)</f>
        <v>0</v>
      </c>
      <c r="P63" s="50">
        <f>IF(M63&gt;0,N63*100/M63,0)</f>
        <v>0</v>
      </c>
    </row>
    <row r="64" spans="1:16" ht="18.75" x14ac:dyDescent="0.25">
      <c r="A64" s="40"/>
      <c r="B64" s="41"/>
      <c r="C64" s="41"/>
      <c r="D64" s="41"/>
      <c r="E64" s="254" t="s">
        <v>19</v>
      </c>
      <c r="F64" s="41"/>
      <c r="G64" s="43"/>
      <c r="H64" s="44" t="s">
        <v>12</v>
      </c>
      <c r="I64" s="45"/>
      <c r="J64" s="45"/>
      <c r="K64" s="46"/>
      <c r="L64" s="47">
        <f ca="1">IFERROR(__xludf.DUMMYFUNCTION("IMPORTRANGE(""https://docs.google.com/spreadsheets/d/1-uDff_7J0KD5mKrp0Vvzr7lt3OU09vwQwhkpOPPYv2Y/edit?usp=sharing"",""งบพรบ!AC29"")"),499600)</f>
        <v>499600</v>
      </c>
      <c r="M64" s="47">
        <f ca="1">IFERROR(__xludf.DUMMYFUNCTION("IMPORTRANGE(""https://docs.google.com/spreadsheets/d/1-uDff_7J0KD5mKrp0Vvzr7lt3OU09vwQwhkpOPPYv2Y/edit?usp=sharing"",""งบพรบ!AH29"")"),376850)</f>
        <v>376850</v>
      </c>
      <c r="N64" s="47">
        <f ca="1">IFERROR(__xludf.DUMMYFUNCTION("IMPORTRANGE(""https://docs.google.com/spreadsheets/d/1-uDff_7J0KD5mKrp0Vvzr7lt3OU09vwQwhkpOPPYv2Y/edit?usp=sharing"",""งบพรบ!AJ29"")"),253068.56)</f>
        <v>253068.56</v>
      </c>
      <c r="O64" s="47">
        <f ca="1">IF(L64&gt;0,N64*100/L64,0)</f>
        <v>50.654235388310646</v>
      </c>
      <c r="P64" s="47">
        <f ca="1">IF(M64&gt;0,N64*100/M64,0)</f>
        <v>67.153657954093134</v>
      </c>
    </row>
    <row r="65" spans="1:16" ht="18.75" x14ac:dyDescent="0.25">
      <c r="A65" s="40"/>
      <c r="B65" s="41"/>
      <c r="C65" s="41"/>
      <c r="D65" s="42" t="s">
        <v>21</v>
      </c>
      <c r="E65" s="41"/>
      <c r="F65" s="41"/>
      <c r="G65" s="43"/>
      <c r="H65" s="44" t="s">
        <v>12</v>
      </c>
      <c r="I65" s="45"/>
      <c r="J65" s="45"/>
      <c r="K65" s="46"/>
      <c r="L65" s="47">
        <f ca="1">L66+L67</f>
        <v>0</v>
      </c>
      <c r="M65" s="47">
        <f ca="1">M66+M67</f>
        <v>0</v>
      </c>
      <c r="N65" s="47">
        <f ca="1">N66+N67</f>
        <v>0</v>
      </c>
      <c r="O65" s="47">
        <f ca="1">IF(L65&gt;0,N65*100/L65,0)</f>
        <v>0</v>
      </c>
      <c r="P65" s="47">
        <f ca="1">IF(M65&gt;0,N65*100/M65,0)</f>
        <v>0</v>
      </c>
    </row>
    <row r="66" spans="1:16" ht="18.75" hidden="1" x14ac:dyDescent="0.25">
      <c r="A66" s="40"/>
      <c r="B66" s="41"/>
      <c r="C66" s="41"/>
      <c r="D66" s="41"/>
      <c r="E66" s="279" t="s">
        <v>18</v>
      </c>
      <c r="F66" s="41"/>
      <c r="G66" s="43"/>
      <c r="H66" s="49" t="s">
        <v>12</v>
      </c>
      <c r="I66" s="45"/>
      <c r="J66" s="45"/>
      <c r="K66" s="46"/>
      <c r="L66" s="50">
        <v>0</v>
      </c>
      <c r="M66" s="50">
        <v>0</v>
      </c>
      <c r="N66" s="50">
        <v>0</v>
      </c>
      <c r="O66" s="50">
        <f>IF(L66&gt;0,N66*100/L66,0)</f>
        <v>0</v>
      </c>
      <c r="P66" s="50">
        <f>IF(M66&gt;0,N66*100/M66,0)</f>
        <v>0</v>
      </c>
    </row>
    <row r="67" spans="1:16" ht="18.75" x14ac:dyDescent="0.25">
      <c r="A67" s="52"/>
      <c r="B67" s="1"/>
      <c r="C67" s="1"/>
      <c r="D67" s="1"/>
      <c r="E67" s="53" t="s">
        <v>19</v>
      </c>
      <c r="F67" s="1"/>
      <c r="G67" s="54"/>
      <c r="H67" s="55" t="s">
        <v>12</v>
      </c>
      <c r="I67" s="56"/>
      <c r="J67" s="56"/>
      <c r="K67" s="57"/>
      <c r="L67" s="58">
        <f ca="1">IFERROR(__xludf.DUMMYFUNCTION("IMPORTRANGE(""https://docs.google.com/spreadsheets/d/1-uDff_7J0KD5mKrp0Vvzr7lt3OU09vwQwhkpOPPYv2Y/edit?usp=sharing"",""งบพรบ!AF29"")"),0)</f>
        <v>0</v>
      </c>
      <c r="M67" s="58">
        <f ca="1">IFERROR(__xludf.DUMMYFUNCTION("IMPORTRANGE(""https://docs.google.com/spreadsheets/d/1-uDff_7J0KD5mKrp0Vvzr7lt3OU09vwQwhkpOPPYv2Y/edit?usp=sharing"",""งบพรบ!AI29"")"),0)</f>
        <v>0</v>
      </c>
      <c r="N67" s="58">
        <f ca="1">IFERROR(__xludf.DUMMYFUNCTION("IMPORTRANGE(""https://docs.google.com/spreadsheets/d/1-uDff_7J0KD5mKrp0Vvzr7lt3OU09vwQwhkpOPPYv2Y/edit?usp=sharing"",""งบพรบ!AK29"")"),0)</f>
        <v>0</v>
      </c>
      <c r="O67" s="58">
        <f ca="1">IF(L67&gt;0,N67*100/L67,0)</f>
        <v>0</v>
      </c>
      <c r="P67" s="58">
        <f ca="1">IF(M67&gt;0,N67*100/M67,0)</f>
        <v>0</v>
      </c>
    </row>
    <row r="68" spans="1:16" ht="19.5" hidden="1" x14ac:dyDescent="0.3">
      <c r="A68" s="119" t="s">
        <v>29</v>
      </c>
      <c r="B68" s="120"/>
      <c r="C68" s="120"/>
      <c r="D68" s="120"/>
      <c r="E68" s="121"/>
      <c r="F68" s="121"/>
      <c r="G68" s="121"/>
      <c r="H68" s="121"/>
      <c r="I68" s="122"/>
      <c r="J68" s="122"/>
      <c r="K68" s="123"/>
      <c r="L68" s="123"/>
      <c r="M68" s="123"/>
      <c r="N68" s="123"/>
      <c r="O68" s="123"/>
      <c r="P68" s="124"/>
    </row>
    <row r="69" spans="1:16" ht="19.5" hidden="1" x14ac:dyDescent="0.3">
      <c r="A69" s="125" t="s">
        <v>30</v>
      </c>
      <c r="B69" s="126"/>
      <c r="C69" s="127"/>
      <c r="D69" s="126"/>
      <c r="E69" s="126"/>
      <c r="F69" s="126"/>
      <c r="G69" s="128"/>
      <c r="H69" s="128"/>
      <c r="I69" s="129"/>
      <c r="J69" s="129"/>
      <c r="K69" s="130"/>
      <c r="L69" s="130"/>
      <c r="M69" s="130"/>
      <c r="N69" s="130"/>
      <c r="O69" s="130"/>
      <c r="P69" s="130"/>
    </row>
    <row r="70" spans="1:16" ht="19.5" hidden="1" x14ac:dyDescent="0.3">
      <c r="A70" s="131"/>
      <c r="B70" s="132" t="s">
        <v>31</v>
      </c>
      <c r="C70" s="26"/>
      <c r="D70" s="133"/>
      <c r="E70" s="26"/>
      <c r="F70" s="26"/>
      <c r="G70" s="29"/>
      <c r="H70" s="134" t="s">
        <v>32</v>
      </c>
      <c r="I70" s="135">
        <f ca="1">I82</f>
        <v>0</v>
      </c>
      <c r="J70" s="135">
        <f>J82</f>
        <v>0</v>
      </c>
      <c r="K70" s="33">
        <f ca="1">IF(I70&gt;0,J70*100/I70,0)</f>
        <v>0</v>
      </c>
      <c r="L70" s="32"/>
      <c r="M70" s="32"/>
      <c r="N70" s="32"/>
      <c r="O70" s="32"/>
      <c r="P70" s="32"/>
    </row>
    <row r="71" spans="1:16" ht="19.5" hidden="1" x14ac:dyDescent="0.3">
      <c r="A71" s="131"/>
      <c r="B71" s="26"/>
      <c r="C71" s="26"/>
      <c r="D71" s="133"/>
      <c r="E71" s="26"/>
      <c r="F71" s="26"/>
      <c r="G71" s="29"/>
      <c r="H71" s="134" t="s">
        <v>33</v>
      </c>
      <c r="I71" s="135">
        <f ca="1">I83</f>
        <v>0</v>
      </c>
      <c r="J71" s="135">
        <f>J83</f>
        <v>0</v>
      </c>
      <c r="K71" s="33">
        <f ca="1">IF(I71&gt;0,J71*100/I71,0)</f>
        <v>0</v>
      </c>
      <c r="L71" s="32"/>
      <c r="M71" s="32"/>
      <c r="N71" s="32"/>
      <c r="O71" s="32"/>
      <c r="P71" s="32"/>
    </row>
    <row r="72" spans="1:16" ht="19.5" hidden="1" x14ac:dyDescent="0.3">
      <c r="A72" s="136"/>
      <c r="B72" s="41"/>
      <c r="C72" s="197" t="s">
        <v>16</v>
      </c>
      <c r="D72" s="397" t="s">
        <v>17</v>
      </c>
      <c r="E72" s="41"/>
      <c r="F72" s="41"/>
      <c r="G72" s="43"/>
      <c r="H72" s="139" t="s">
        <v>12</v>
      </c>
      <c r="I72" s="45"/>
      <c r="J72" s="45"/>
      <c r="K72" s="46"/>
      <c r="L72" s="140">
        <f ca="1">L73+L74</f>
        <v>0</v>
      </c>
      <c r="M72" s="140">
        <f ca="1">M73+M74</f>
        <v>0</v>
      </c>
      <c r="N72" s="140">
        <f ca="1">N73+N74</f>
        <v>0</v>
      </c>
      <c r="O72" s="140">
        <f ca="1">IF(L72&gt;0,N72*100/L72,0)</f>
        <v>0</v>
      </c>
      <c r="P72" s="140">
        <f ca="1">IF(M72&gt;0,N72*100/M72,0)</f>
        <v>0</v>
      </c>
    </row>
    <row r="73" spans="1:16" ht="18.75" hidden="1" x14ac:dyDescent="0.25">
      <c r="A73" s="136"/>
      <c r="B73" s="41"/>
      <c r="C73" s="41"/>
      <c r="D73" s="41"/>
      <c r="E73" s="279" t="s">
        <v>18</v>
      </c>
      <c r="F73" s="41"/>
      <c r="G73" s="43"/>
      <c r="H73" s="141" t="s">
        <v>12</v>
      </c>
      <c r="I73" s="45"/>
      <c r="J73" s="45"/>
      <c r="K73" s="46"/>
      <c r="L73" s="50">
        <f>L76+L79</f>
        <v>0</v>
      </c>
      <c r="M73" s="50">
        <f>M76+M79</f>
        <v>0</v>
      </c>
      <c r="N73" s="50">
        <f>N76+N79</f>
        <v>0</v>
      </c>
      <c r="O73" s="50">
        <f>IF(L73&gt;0,N73*100/L73,0)</f>
        <v>0</v>
      </c>
      <c r="P73" s="50">
        <f>IF(M73&gt;0,N73*100/M73,0)</f>
        <v>0</v>
      </c>
    </row>
    <row r="74" spans="1:16" ht="18.75" hidden="1" x14ac:dyDescent="0.25">
      <c r="A74" s="136"/>
      <c r="B74" s="41"/>
      <c r="C74" s="41"/>
      <c r="D74" s="41"/>
      <c r="E74" s="254" t="s">
        <v>19</v>
      </c>
      <c r="F74" s="41"/>
      <c r="G74" s="43"/>
      <c r="H74" s="142" t="s">
        <v>12</v>
      </c>
      <c r="I74" s="45"/>
      <c r="J74" s="45"/>
      <c r="K74" s="46"/>
      <c r="L74" s="47">
        <f ca="1">L77+L80</f>
        <v>0</v>
      </c>
      <c r="M74" s="47">
        <f ca="1">M77+M80</f>
        <v>0</v>
      </c>
      <c r="N74" s="47">
        <f ca="1">N77+N80</f>
        <v>0</v>
      </c>
      <c r="O74" s="47">
        <f ca="1">IF(L74&gt;0,N74*100/L74,0)</f>
        <v>0</v>
      </c>
      <c r="P74" s="47">
        <f ca="1">IF(M74&gt;0,N74*100/M74,0)</f>
        <v>0</v>
      </c>
    </row>
    <row r="75" spans="1:16" ht="18.75" hidden="1" x14ac:dyDescent="0.25">
      <c r="A75" s="136"/>
      <c r="B75" s="41"/>
      <c r="C75" s="41"/>
      <c r="D75" s="42" t="s">
        <v>20</v>
      </c>
      <c r="E75" s="41"/>
      <c r="F75" s="41"/>
      <c r="G75" s="43"/>
      <c r="H75" s="143" t="s">
        <v>12</v>
      </c>
      <c r="I75" s="144"/>
      <c r="J75" s="144"/>
      <c r="K75" s="145"/>
      <c r="L75" s="47">
        <f ca="1">L76+L77</f>
        <v>0</v>
      </c>
      <c r="M75" s="47">
        <f ca="1">M76+M77</f>
        <v>0</v>
      </c>
      <c r="N75" s="47">
        <f ca="1">N76+N77</f>
        <v>0</v>
      </c>
      <c r="O75" s="47">
        <f ca="1">IF(L75&gt;0,N75*100/L75,0)</f>
        <v>0</v>
      </c>
      <c r="P75" s="47">
        <f ca="1">IF(M75&gt;0,N75*100/M75,0)</f>
        <v>0</v>
      </c>
    </row>
    <row r="76" spans="1:16" ht="18.75" hidden="1" x14ac:dyDescent="0.25">
      <c r="A76" s="136"/>
      <c r="B76" s="41"/>
      <c r="C76" s="41"/>
      <c r="D76" s="41"/>
      <c r="E76" s="279" t="s">
        <v>34</v>
      </c>
      <c r="F76" s="41"/>
      <c r="G76" s="43"/>
      <c r="H76" s="146" t="s">
        <v>12</v>
      </c>
      <c r="I76" s="144"/>
      <c r="J76" s="144"/>
      <c r="K76" s="145"/>
      <c r="L76" s="50">
        <v>0</v>
      </c>
      <c r="M76" s="50">
        <v>0</v>
      </c>
      <c r="N76" s="50">
        <v>0</v>
      </c>
      <c r="O76" s="50">
        <f>IF(L76&gt;0,N76*100/L76,0)</f>
        <v>0</v>
      </c>
      <c r="P76" s="50">
        <f>IF(M76&gt;0,N76*100/M76,0)</f>
        <v>0</v>
      </c>
    </row>
    <row r="77" spans="1:16" ht="18.75" hidden="1" x14ac:dyDescent="0.25">
      <c r="A77" s="136"/>
      <c r="B77" s="41"/>
      <c r="C77" s="41"/>
      <c r="D77" s="41"/>
      <c r="E77" s="254" t="s">
        <v>35</v>
      </c>
      <c r="F77" s="41"/>
      <c r="G77" s="43"/>
      <c r="H77" s="143" t="s">
        <v>12</v>
      </c>
      <c r="I77" s="144"/>
      <c r="J77" s="144"/>
      <c r="K77" s="145"/>
      <c r="L77" s="47">
        <f ca="1">IFERROR(__xludf.DUMMYFUNCTION("IMPORTRANGE(""https://docs.google.com/spreadsheets/d/1-uDff_7J0KD5mKrp0Vvzr7lt3OU09vwQwhkpOPPYv2Y/edit?usp=sharing"",""งบพรบ!AM29"")"),0)</f>
        <v>0</v>
      </c>
      <c r="M77" s="47">
        <f ca="1">IFERROR(__xludf.DUMMYFUNCTION("IMPORTRANGE(""https://docs.google.com/spreadsheets/d/1-uDff_7J0KD5mKrp0Vvzr7lt3OU09vwQwhkpOPPYv2Y/edit?usp=sharing"",""งบพรบ!AR29"")"),0)</f>
        <v>0</v>
      </c>
      <c r="N77" s="47">
        <f ca="1">IFERROR(__xludf.DUMMYFUNCTION("IMPORTRANGE(""https://docs.google.com/spreadsheets/d/1-uDff_7J0KD5mKrp0Vvzr7lt3OU09vwQwhkpOPPYv2Y/edit?usp=sharing"",""งบพรบ!AT29"")"),0)</f>
        <v>0</v>
      </c>
      <c r="O77" s="47">
        <f ca="1">IF(L77&gt;0,N77*100/L77,0)</f>
        <v>0</v>
      </c>
      <c r="P77" s="47">
        <f ca="1">IF(M77&gt;0,N77*100/M77,0)</f>
        <v>0</v>
      </c>
    </row>
    <row r="78" spans="1:16" ht="18.75" hidden="1" x14ac:dyDescent="0.25">
      <c r="A78" s="136"/>
      <c r="B78" s="41"/>
      <c r="C78" s="41"/>
      <c r="D78" s="42" t="s">
        <v>21</v>
      </c>
      <c r="E78" s="41"/>
      <c r="F78" s="41"/>
      <c r="G78" s="43"/>
      <c r="H78" s="147" t="s">
        <v>12</v>
      </c>
      <c r="I78" s="144"/>
      <c r="J78" s="144"/>
      <c r="K78" s="145"/>
      <c r="L78" s="47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</row>
    <row r="79" spans="1:16" ht="18.75" hidden="1" x14ac:dyDescent="0.25">
      <c r="A79" s="136"/>
      <c r="B79" s="41"/>
      <c r="C79" s="41"/>
      <c r="D79" s="41"/>
      <c r="E79" s="279" t="s">
        <v>18</v>
      </c>
      <c r="F79" s="41"/>
      <c r="G79" s="43"/>
      <c r="H79" s="146" t="s">
        <v>12</v>
      </c>
      <c r="I79" s="144"/>
      <c r="J79" s="144"/>
      <c r="K79" s="145"/>
      <c r="L79" s="50">
        <v>0</v>
      </c>
      <c r="M79" s="46"/>
      <c r="N79" s="46"/>
      <c r="O79" s="50">
        <f>IF(L79&gt;0,N79*100/L79,0)</f>
        <v>0</v>
      </c>
      <c r="P79" s="50">
        <f>IF(M79&gt;0,N79*100/M79,0)</f>
        <v>0</v>
      </c>
    </row>
    <row r="80" spans="1:16" ht="18.75" hidden="1" x14ac:dyDescent="0.25">
      <c r="A80" s="136"/>
      <c r="B80" s="41"/>
      <c r="C80" s="41"/>
      <c r="D80" s="41"/>
      <c r="E80" s="254" t="s">
        <v>19</v>
      </c>
      <c r="F80" s="41"/>
      <c r="G80" s="43"/>
      <c r="H80" s="147" t="s">
        <v>12</v>
      </c>
      <c r="I80" s="144"/>
      <c r="J80" s="144"/>
      <c r="K80" s="145"/>
      <c r="L80" s="47">
        <f ca="1">IFERROR(__xludf.DUMMYFUNCTION("IMPORTRANGE(""https://docs.google.com/spreadsheets/d/1-uDff_7J0KD5mKrp0Vvzr7lt3OU09vwQwhkpOPPYv2Y/edit?usp=sharing"",""งบพรบ!AP29"")"),0)</f>
        <v>0</v>
      </c>
      <c r="M80" s="47">
        <f ca="1">IFERROR(__xludf.DUMMYFUNCTION("IMPORTRANGE(""https://docs.google.com/spreadsheets/d/1-uDff_7J0KD5mKrp0Vvzr7lt3OU09vwQwhkpOPPYv2Y/edit?usp=sharing"",""งบพรบ!AS29"")"),0)</f>
        <v>0</v>
      </c>
      <c r="N80" s="47">
        <f ca="1">IFERROR(__xludf.DUMMYFUNCTION("IMPORTRANGE(""https://docs.google.com/spreadsheets/d/1-uDff_7J0KD5mKrp0Vvzr7lt3OU09vwQwhkpOPPYv2Y/edit?usp=sharing"",""งบพรบ!AU29"")"),0)</f>
        <v>0</v>
      </c>
      <c r="O80" s="47">
        <f ca="1">IF(L80&gt;0,N80*100/L80,0)</f>
        <v>0</v>
      </c>
      <c r="P80" s="47">
        <f ca="1">IF(M80&gt;0,N80*100/M80,0)</f>
        <v>0</v>
      </c>
    </row>
    <row r="81" spans="1:16" ht="19.5" hidden="1" x14ac:dyDescent="0.3">
      <c r="A81" s="148"/>
      <c r="B81" s="149"/>
      <c r="C81" s="197" t="s">
        <v>16</v>
      </c>
      <c r="D81" s="395" t="s">
        <v>36</v>
      </c>
      <c r="E81" s="151"/>
      <c r="F81" s="151"/>
      <c r="G81" s="152"/>
      <c r="H81" s="153"/>
      <c r="I81" s="144"/>
      <c r="J81" s="144"/>
      <c r="K81" s="145"/>
      <c r="L81" s="145"/>
      <c r="M81" s="145"/>
      <c r="N81" s="145"/>
      <c r="O81" s="145"/>
      <c r="P81" s="145"/>
    </row>
    <row r="82" spans="1:16" ht="19.5" hidden="1" x14ac:dyDescent="0.3">
      <c r="A82" s="148"/>
      <c r="B82" s="149"/>
      <c r="C82" s="149"/>
      <c r="D82" s="154" t="s">
        <v>37</v>
      </c>
      <c r="E82" s="155"/>
      <c r="F82" s="155"/>
      <c r="G82" s="153"/>
      <c r="H82" s="156" t="s">
        <v>32</v>
      </c>
      <c r="I82" s="157">
        <f ca="1">I84+I86+I88</f>
        <v>0</v>
      </c>
      <c r="J82" s="157">
        <f>J84+J86+J88</f>
        <v>0</v>
      </c>
      <c r="K82" s="158">
        <f ca="1">IF(I82&gt;0,J82*100/I82,0)</f>
        <v>0</v>
      </c>
      <c r="L82" s="145"/>
      <c r="M82" s="145"/>
      <c r="N82" s="145"/>
      <c r="O82" s="145"/>
      <c r="P82" s="145"/>
    </row>
    <row r="83" spans="1:16" ht="19.5" hidden="1" x14ac:dyDescent="0.3">
      <c r="A83" s="148"/>
      <c r="B83" s="149"/>
      <c r="C83" s="149"/>
      <c r="D83" s="149"/>
      <c r="E83" s="155"/>
      <c r="F83" s="155"/>
      <c r="G83" s="153"/>
      <c r="H83" s="156" t="s">
        <v>33</v>
      </c>
      <c r="I83" s="157">
        <f ca="1">I85+I87+I89</f>
        <v>0</v>
      </c>
      <c r="J83" s="157">
        <f>J85+J87+J89</f>
        <v>0</v>
      </c>
      <c r="K83" s="158">
        <f ca="1">IF(I83&gt;0,J83*100/I83,0)</f>
        <v>0</v>
      </c>
      <c r="L83" s="145"/>
      <c r="M83" s="145"/>
      <c r="N83" s="145"/>
      <c r="O83" s="145"/>
      <c r="P83" s="145"/>
    </row>
    <row r="84" spans="1:16" ht="18.75" hidden="1" x14ac:dyDescent="0.25">
      <c r="A84" s="148"/>
      <c r="B84" s="149"/>
      <c r="C84" s="149"/>
      <c r="D84" s="149"/>
      <c r="E84" s="159" t="s">
        <v>38</v>
      </c>
      <c r="F84" s="155"/>
      <c r="G84" s="153"/>
      <c r="H84" s="251" t="s">
        <v>32</v>
      </c>
      <c r="I84" s="161">
        <f ca="1">IFERROR(__xludf.DUMMYFUNCTION("IMPORTRANGE(""https://docs.google.com/spreadsheets/d/1eHaY18a8A9IcSdp1K8H6x8fbOy06t2VsZHhMHf-1x7Y/edit?usp=sharing"",""แผน!H29"")"),0)</f>
        <v>0</v>
      </c>
      <c r="J84" s="250">
        <v>0</v>
      </c>
      <c r="K84" s="163">
        <f ca="1">IF(I84&gt;0,J84*100/I84,0)</f>
        <v>0</v>
      </c>
      <c r="L84" s="145"/>
      <c r="M84" s="145"/>
      <c r="N84" s="145"/>
      <c r="O84" s="145"/>
      <c r="P84" s="145"/>
    </row>
    <row r="85" spans="1:16" ht="18.75" hidden="1" x14ac:dyDescent="0.25">
      <c r="A85" s="148"/>
      <c r="B85" s="149"/>
      <c r="C85" s="149"/>
      <c r="D85" s="149"/>
      <c r="E85" s="155"/>
      <c r="F85" s="155"/>
      <c r="G85" s="153"/>
      <c r="H85" s="251" t="s">
        <v>33</v>
      </c>
      <c r="I85" s="161">
        <f ca="1">IFERROR(__xludf.DUMMYFUNCTION("IMPORTRANGE(""https://docs.google.com/spreadsheets/d/1eHaY18a8A9IcSdp1K8H6x8fbOy06t2VsZHhMHf-1x7Y/edit?usp=sharing"",""แผน!I29"")"),0)</f>
        <v>0</v>
      </c>
      <c r="J85" s="250">
        <v>0</v>
      </c>
      <c r="K85" s="163">
        <f ca="1">IF(I85&gt;0,J85*100/I85,0)</f>
        <v>0</v>
      </c>
      <c r="L85" s="145"/>
      <c r="M85" s="145"/>
      <c r="N85" s="145"/>
      <c r="O85" s="145"/>
      <c r="P85" s="145"/>
    </row>
    <row r="86" spans="1:16" ht="18.75" hidden="1" x14ac:dyDescent="0.25">
      <c r="A86" s="148"/>
      <c r="B86" s="149"/>
      <c r="C86" s="149"/>
      <c r="D86" s="149"/>
      <c r="E86" s="159" t="s">
        <v>39</v>
      </c>
      <c r="F86" s="155"/>
      <c r="G86" s="153"/>
      <c r="H86" s="251" t="s">
        <v>32</v>
      </c>
      <c r="I86" s="161">
        <f ca="1">IFERROR(__xludf.DUMMYFUNCTION("IMPORTRANGE(""https://docs.google.com/spreadsheets/d/1eHaY18a8A9IcSdp1K8H6x8fbOy06t2VsZHhMHf-1x7Y/edit?usp=sharing"",""แผน!F29"")"),0)</f>
        <v>0</v>
      </c>
      <c r="J86" s="250">
        <v>0</v>
      </c>
      <c r="K86" s="163">
        <f ca="1">IF(I86&gt;0,J86*100/I86,0)</f>
        <v>0</v>
      </c>
      <c r="L86" s="145"/>
      <c r="M86" s="145"/>
      <c r="N86" s="145"/>
      <c r="O86" s="145"/>
      <c r="P86" s="145"/>
    </row>
    <row r="87" spans="1:16" ht="18.75" hidden="1" x14ac:dyDescent="0.25">
      <c r="A87" s="148"/>
      <c r="B87" s="149"/>
      <c r="C87" s="149"/>
      <c r="D87" s="149"/>
      <c r="E87" s="155"/>
      <c r="F87" s="155"/>
      <c r="G87" s="153"/>
      <c r="H87" s="251" t="s">
        <v>33</v>
      </c>
      <c r="I87" s="161">
        <f ca="1">IFERROR(__xludf.DUMMYFUNCTION("IMPORTRANGE(""https://docs.google.com/spreadsheets/d/1eHaY18a8A9IcSdp1K8H6x8fbOy06t2VsZHhMHf-1x7Y/edit?usp=sharing"",""แผน!G29"")"),0)</f>
        <v>0</v>
      </c>
      <c r="J87" s="250">
        <v>0</v>
      </c>
      <c r="K87" s="163">
        <f ca="1">IF(I87&gt;0,J87*100/I87,0)</f>
        <v>0</v>
      </c>
      <c r="L87" s="145"/>
      <c r="M87" s="145"/>
      <c r="N87" s="145"/>
      <c r="O87" s="145"/>
      <c r="P87" s="145"/>
    </row>
    <row r="88" spans="1:16" ht="18.75" hidden="1" x14ac:dyDescent="0.25">
      <c r="A88" s="148"/>
      <c r="B88" s="149"/>
      <c r="C88" s="149"/>
      <c r="D88" s="149"/>
      <c r="E88" s="159" t="s">
        <v>40</v>
      </c>
      <c r="F88" s="155"/>
      <c r="G88" s="153"/>
      <c r="H88" s="251" t="s">
        <v>32</v>
      </c>
      <c r="I88" s="161">
        <f ca="1">IFERROR(__xludf.DUMMYFUNCTION("IMPORTRANGE(""https://docs.google.com/spreadsheets/d/1eHaY18a8A9IcSdp1K8H6x8fbOy06t2VsZHhMHf-1x7Y/edit?usp=sharing"",""แผน!D29"")"),0)</f>
        <v>0</v>
      </c>
      <c r="J88" s="250">
        <v>0</v>
      </c>
      <c r="K88" s="163">
        <f ca="1">IF(I88&gt;0,J88*100/I88,0)</f>
        <v>0</v>
      </c>
      <c r="L88" s="145"/>
      <c r="M88" s="145"/>
      <c r="N88" s="145"/>
      <c r="O88" s="145"/>
      <c r="P88" s="145"/>
    </row>
    <row r="89" spans="1:16" ht="18.75" hidden="1" x14ac:dyDescent="0.25">
      <c r="A89" s="148"/>
      <c r="B89" s="149"/>
      <c r="C89" s="149"/>
      <c r="D89" s="149"/>
      <c r="E89" s="155"/>
      <c r="F89" s="155"/>
      <c r="G89" s="153"/>
      <c r="H89" s="251" t="s">
        <v>33</v>
      </c>
      <c r="I89" s="161">
        <f ca="1">IFERROR(__xludf.DUMMYFUNCTION("IMPORTRANGE(""https://docs.google.com/spreadsheets/d/1eHaY18a8A9IcSdp1K8H6x8fbOy06t2VsZHhMHf-1x7Y/edit?usp=sharing"",""แผน!E29"")"),0)</f>
        <v>0</v>
      </c>
      <c r="J89" s="250">
        <v>0</v>
      </c>
      <c r="K89" s="163">
        <f ca="1">IF(I89&gt;0,J89*100/I89,0)</f>
        <v>0</v>
      </c>
      <c r="L89" s="145"/>
      <c r="M89" s="145"/>
      <c r="N89" s="145"/>
      <c r="O89" s="145"/>
      <c r="P89" s="145"/>
    </row>
    <row r="90" spans="1:16" ht="18.75" hidden="1" x14ac:dyDescent="0.25">
      <c r="A90" s="148"/>
      <c r="B90" s="149"/>
      <c r="C90" s="149"/>
      <c r="D90" s="154" t="s">
        <v>41</v>
      </c>
      <c r="E90" s="155"/>
      <c r="F90" s="155"/>
      <c r="G90" s="153"/>
      <c r="H90" s="164" t="s">
        <v>32</v>
      </c>
      <c r="I90" s="161">
        <f ca="1">IFERROR(__xludf.DUMMYFUNCTION("IMPORTRANGE(""https://docs.google.com/spreadsheets/d/1eHaY18a8A9IcSdp1K8H6x8fbOy06t2VsZHhMHf-1x7Y/edit?usp=sharing"",""แผน!J29"")"),0)</f>
        <v>0</v>
      </c>
      <c r="J90" s="250">
        <v>0</v>
      </c>
      <c r="K90" s="163">
        <f ca="1">IF(I90&gt;0,J90*100/I90,0)</f>
        <v>0</v>
      </c>
      <c r="L90" s="145"/>
      <c r="M90" s="145"/>
      <c r="N90" s="145"/>
      <c r="O90" s="145"/>
      <c r="P90" s="145"/>
    </row>
    <row r="91" spans="1:16" ht="19.5" hidden="1" x14ac:dyDescent="0.3">
      <c r="A91" s="125" t="s">
        <v>42</v>
      </c>
      <c r="B91" s="126"/>
      <c r="C91" s="127"/>
      <c r="D91" s="126"/>
      <c r="E91" s="126"/>
      <c r="F91" s="126"/>
      <c r="G91" s="128"/>
      <c r="H91" s="128"/>
      <c r="I91" s="129"/>
      <c r="J91" s="129"/>
      <c r="K91" s="130"/>
      <c r="L91" s="130"/>
      <c r="M91" s="130"/>
      <c r="N91" s="130"/>
      <c r="O91" s="130"/>
      <c r="P91" s="130"/>
    </row>
    <row r="92" spans="1:16" ht="19.5" hidden="1" x14ac:dyDescent="0.3">
      <c r="A92" s="131"/>
      <c r="B92" s="132" t="s">
        <v>43</v>
      </c>
      <c r="C92" s="26"/>
      <c r="D92" s="133"/>
      <c r="E92" s="26"/>
      <c r="F92" s="26"/>
      <c r="G92" s="29"/>
      <c r="H92" s="134" t="s">
        <v>44</v>
      </c>
      <c r="I92" s="135">
        <f ca="1">I108</f>
        <v>0</v>
      </c>
      <c r="J92" s="135">
        <f>J108</f>
        <v>0</v>
      </c>
      <c r="K92" s="33">
        <f ca="1">IF(I92&gt;0,J92*100/I92,0)</f>
        <v>0</v>
      </c>
      <c r="L92" s="32"/>
      <c r="M92" s="32"/>
      <c r="N92" s="32"/>
      <c r="O92" s="32"/>
      <c r="P92" s="32"/>
    </row>
    <row r="93" spans="1:16" ht="19.5" hidden="1" x14ac:dyDescent="0.3">
      <c r="A93" s="131"/>
      <c r="B93" s="26"/>
      <c r="C93" s="26"/>
      <c r="D93" s="133"/>
      <c r="E93" s="26"/>
      <c r="F93" s="26"/>
      <c r="G93" s="29"/>
      <c r="H93" s="134" t="s">
        <v>33</v>
      </c>
      <c r="I93" s="135">
        <f ca="1">I109</f>
        <v>0</v>
      </c>
      <c r="J93" s="135">
        <f>J109</f>
        <v>0</v>
      </c>
      <c r="K93" s="33">
        <f ca="1">IF(I93&gt;0,J93*100/I93,0)</f>
        <v>0</v>
      </c>
      <c r="L93" s="32"/>
      <c r="M93" s="32"/>
      <c r="N93" s="32"/>
      <c r="O93" s="32"/>
      <c r="P93" s="32"/>
    </row>
    <row r="94" spans="1:16" ht="19.5" hidden="1" x14ac:dyDescent="0.3">
      <c r="A94" s="136"/>
      <c r="B94" s="41"/>
      <c r="C94" s="197" t="s">
        <v>16</v>
      </c>
      <c r="D94" s="397" t="s">
        <v>17</v>
      </c>
      <c r="E94" s="41"/>
      <c r="F94" s="41"/>
      <c r="G94" s="43"/>
      <c r="H94" s="139" t="s">
        <v>12</v>
      </c>
      <c r="I94" s="45"/>
      <c r="J94" s="45"/>
      <c r="K94" s="46"/>
      <c r="L94" s="140">
        <f ca="1">L95+L96</f>
        <v>0</v>
      </c>
      <c r="M94" s="140">
        <f ca="1">M95+M96</f>
        <v>0</v>
      </c>
      <c r="N94" s="140">
        <f ca="1">N95+N96</f>
        <v>0</v>
      </c>
      <c r="O94" s="140">
        <f ca="1">IF(L94&gt;0,N94*100/L94,0)</f>
        <v>0</v>
      </c>
      <c r="P94" s="140">
        <f ca="1">IF(M94&gt;0,N94*100/M94,0)</f>
        <v>0</v>
      </c>
    </row>
    <row r="95" spans="1:16" ht="18.75" hidden="1" x14ac:dyDescent="0.25">
      <c r="A95" s="136"/>
      <c r="B95" s="41"/>
      <c r="C95" s="41"/>
      <c r="D95" s="41"/>
      <c r="E95" s="279" t="s">
        <v>18</v>
      </c>
      <c r="F95" s="41"/>
      <c r="G95" s="43"/>
      <c r="H95" s="141" t="s">
        <v>12</v>
      </c>
      <c r="I95" s="45"/>
      <c r="J95" s="45"/>
      <c r="K95" s="46"/>
      <c r="L95" s="50">
        <f>L98+L101</f>
        <v>0</v>
      </c>
      <c r="M95" s="50">
        <f>M98+M101</f>
        <v>0</v>
      </c>
      <c r="N95" s="50">
        <f>N98+N101</f>
        <v>0</v>
      </c>
      <c r="O95" s="50">
        <f>IF(L95&gt;0,N95*100/L95,0)</f>
        <v>0</v>
      </c>
      <c r="P95" s="50">
        <f>IF(M95&gt;0,N95*100/M95,0)</f>
        <v>0</v>
      </c>
    </row>
    <row r="96" spans="1:16" ht="18.75" hidden="1" x14ac:dyDescent="0.25">
      <c r="A96" s="136"/>
      <c r="B96" s="41"/>
      <c r="C96" s="41"/>
      <c r="D96" s="41"/>
      <c r="E96" s="254" t="s">
        <v>19</v>
      </c>
      <c r="F96" s="41"/>
      <c r="G96" s="43"/>
      <c r="H96" s="142" t="s">
        <v>12</v>
      </c>
      <c r="I96" s="45"/>
      <c r="J96" s="45"/>
      <c r="K96" s="46"/>
      <c r="L96" s="47">
        <f ca="1">L99+L102</f>
        <v>0</v>
      </c>
      <c r="M96" s="47">
        <f ca="1">M99+M102</f>
        <v>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</row>
    <row r="97" spans="1:16" ht="18.75" hidden="1" x14ac:dyDescent="0.25">
      <c r="A97" s="136"/>
      <c r="B97" s="41"/>
      <c r="C97" s="41"/>
      <c r="D97" s="42" t="s">
        <v>20</v>
      </c>
      <c r="E97" s="41"/>
      <c r="F97" s="41"/>
      <c r="G97" s="43"/>
      <c r="H97" s="143" t="s">
        <v>12</v>
      </c>
      <c r="I97" s="144"/>
      <c r="J97" s="144"/>
      <c r="K97" s="145"/>
      <c r="L97" s="47">
        <f ca="1">L98+L99</f>
        <v>0</v>
      </c>
      <c r="M97" s="47">
        <f ca="1">M98+M99</f>
        <v>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</row>
    <row r="98" spans="1:16" ht="18.75" hidden="1" x14ac:dyDescent="0.25">
      <c r="A98" s="136"/>
      <c r="B98" s="41"/>
      <c r="C98" s="41"/>
      <c r="D98" s="41"/>
      <c r="E98" s="279" t="s">
        <v>34</v>
      </c>
      <c r="F98" s="41"/>
      <c r="G98" s="43"/>
      <c r="H98" s="146" t="s">
        <v>12</v>
      </c>
      <c r="I98" s="144"/>
      <c r="J98" s="144"/>
      <c r="K98" s="145"/>
      <c r="L98" s="50">
        <v>0</v>
      </c>
      <c r="M98" s="50">
        <v>0</v>
      </c>
      <c r="N98" s="50">
        <v>0</v>
      </c>
      <c r="O98" s="50">
        <f>IF(L98&gt;0,N98*100/L98,0)</f>
        <v>0</v>
      </c>
      <c r="P98" s="50">
        <f>IF(M98&gt;0,N98*100/M98,0)</f>
        <v>0</v>
      </c>
    </row>
    <row r="99" spans="1:16" ht="18.75" hidden="1" x14ac:dyDescent="0.25">
      <c r="A99" s="136"/>
      <c r="B99" s="41"/>
      <c r="C99" s="41"/>
      <c r="D99" s="41"/>
      <c r="E99" s="254" t="s">
        <v>35</v>
      </c>
      <c r="F99" s="41"/>
      <c r="G99" s="43"/>
      <c r="H99" s="143" t="s">
        <v>12</v>
      </c>
      <c r="I99" s="144"/>
      <c r="J99" s="144"/>
      <c r="K99" s="145"/>
      <c r="L99" s="47">
        <f ca="1">IFERROR(__xludf.DUMMYFUNCTION("IMPORTRANGE(""https://docs.google.com/spreadsheets/d/1-uDff_7J0KD5mKrp0Vvzr7lt3OU09vwQwhkpOPPYv2Y/edit?usp=sharing"",""งบพรบ!AW29"")"),0)</f>
        <v>0</v>
      </c>
      <c r="M99" s="47">
        <f ca="1">IFERROR(__xludf.DUMMYFUNCTION("IMPORTRANGE(""https://docs.google.com/spreadsheets/d/1-uDff_7J0KD5mKrp0Vvzr7lt3OU09vwQwhkpOPPYv2Y/edit?usp=sharing"",""งบพรบ!BB29"")"),0)</f>
        <v>0</v>
      </c>
      <c r="N99" s="47">
        <f ca="1">IFERROR(__xludf.DUMMYFUNCTION("IMPORTRANGE(""https://docs.google.com/spreadsheets/d/1-uDff_7J0KD5mKrp0Vvzr7lt3OU09vwQwhkpOPPYv2Y/edit?usp=sharing"",""งบพรบ!BD29"")"),0)</f>
        <v>0</v>
      </c>
      <c r="O99" s="47">
        <f ca="1">IF(L99&gt;0,N99*100/L99,0)</f>
        <v>0</v>
      </c>
      <c r="P99" s="47">
        <f ca="1">IF(M99&gt;0,N99*100/M99,0)</f>
        <v>0</v>
      </c>
    </row>
    <row r="100" spans="1:16" ht="18.75" hidden="1" x14ac:dyDescent="0.25">
      <c r="A100" s="136"/>
      <c r="B100" s="41"/>
      <c r="C100" s="41"/>
      <c r="D100" s="42" t="s">
        <v>21</v>
      </c>
      <c r="E100" s="41"/>
      <c r="F100" s="41"/>
      <c r="G100" s="43"/>
      <c r="H100" s="147" t="s">
        <v>12</v>
      </c>
      <c r="I100" s="144"/>
      <c r="J100" s="144"/>
      <c r="K100" s="145"/>
      <c r="L100" s="47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</row>
    <row r="101" spans="1:16" ht="18.75" hidden="1" x14ac:dyDescent="0.25">
      <c r="A101" s="136"/>
      <c r="B101" s="41"/>
      <c r="C101" s="41"/>
      <c r="D101" s="41"/>
      <c r="E101" s="279" t="s">
        <v>18</v>
      </c>
      <c r="F101" s="41"/>
      <c r="G101" s="43"/>
      <c r="H101" s="146" t="s">
        <v>12</v>
      </c>
      <c r="I101" s="144"/>
      <c r="J101" s="144"/>
      <c r="K101" s="145"/>
      <c r="L101" s="50">
        <v>0</v>
      </c>
      <c r="M101" s="50">
        <v>0</v>
      </c>
      <c r="N101" s="50">
        <v>0</v>
      </c>
      <c r="O101" s="50">
        <f>IF(L101&gt;0,N101*100/L101,0)</f>
        <v>0</v>
      </c>
      <c r="P101" s="50">
        <f>IF(M101&gt;0,N101*100/M101,0)</f>
        <v>0</v>
      </c>
    </row>
    <row r="102" spans="1:16" ht="18.75" hidden="1" x14ac:dyDescent="0.25">
      <c r="A102" s="136"/>
      <c r="B102" s="41"/>
      <c r="C102" s="41"/>
      <c r="D102" s="41"/>
      <c r="E102" s="254" t="s">
        <v>19</v>
      </c>
      <c r="F102" s="41"/>
      <c r="G102" s="43"/>
      <c r="H102" s="147" t="s">
        <v>12</v>
      </c>
      <c r="I102" s="144"/>
      <c r="J102" s="144"/>
      <c r="K102" s="145"/>
      <c r="L102" s="47">
        <f ca="1">IFERROR(__xludf.DUMMYFUNCTION("IMPORTRANGE(""https://docs.google.com/spreadsheets/d/1-uDff_7J0KD5mKrp0Vvzr7lt3OU09vwQwhkpOPPYv2Y/edit?usp=sharing"",""งบพรบ!AZ29"")"),0)</f>
        <v>0</v>
      </c>
      <c r="M102" s="47">
        <f ca="1">IFERROR(__xludf.DUMMYFUNCTION("IMPORTRANGE(""https://docs.google.com/spreadsheets/d/1-uDff_7J0KD5mKrp0Vvzr7lt3OU09vwQwhkpOPPYv2Y/edit?usp=sharing"",""งบพรบ!BC29"")"),0)</f>
        <v>0</v>
      </c>
      <c r="N102" s="47">
        <f ca="1">IFERROR(__xludf.DUMMYFUNCTION("IMPORTRANGE(""https://docs.google.com/spreadsheets/d/1-uDff_7J0KD5mKrp0Vvzr7lt3OU09vwQwhkpOPPYv2Y/edit?usp=sharing"",""งบพรบ!BE29"")"),0)</f>
        <v>0</v>
      </c>
      <c r="O102" s="47">
        <f ca="1">IF(L102&gt;0,N102*100/L102,0)</f>
        <v>0</v>
      </c>
      <c r="P102" s="47">
        <f ca="1">IF(M102&gt;0,N102*100/M102,0)</f>
        <v>0</v>
      </c>
    </row>
    <row r="103" spans="1:16" ht="19.5" hidden="1" x14ac:dyDescent="0.3">
      <c r="A103" s="148"/>
      <c r="B103" s="149"/>
      <c r="C103" s="197" t="s">
        <v>16</v>
      </c>
      <c r="D103" s="395" t="s">
        <v>36</v>
      </c>
      <c r="E103" s="151"/>
      <c r="F103" s="151"/>
      <c r="G103" s="152"/>
      <c r="H103" s="153"/>
      <c r="I103" s="144"/>
      <c r="J103" s="45"/>
      <c r="K103" s="46"/>
      <c r="L103" s="46"/>
      <c r="M103" s="46"/>
      <c r="N103" s="46"/>
      <c r="O103" s="145"/>
      <c r="P103" s="145"/>
    </row>
    <row r="104" spans="1:16" ht="12.75" hidden="1" x14ac:dyDescent="0.2">
      <c r="A104" s="165"/>
      <c r="B104" s="166"/>
      <c r="C104" s="166"/>
      <c r="D104" s="16"/>
      <c r="E104" s="16"/>
      <c r="F104" s="16"/>
      <c r="G104" s="17"/>
      <c r="H104" s="17"/>
      <c r="I104" s="18"/>
      <c r="J104" s="18"/>
      <c r="K104" s="19"/>
      <c r="L104" s="19"/>
      <c r="M104" s="19"/>
      <c r="N104" s="19"/>
      <c r="O104" s="19"/>
      <c r="P104" s="19"/>
    </row>
    <row r="105" spans="1:16" ht="12.75" hidden="1" x14ac:dyDescent="0.2">
      <c r="A105" s="165"/>
      <c r="B105" s="166"/>
      <c r="C105" s="166"/>
      <c r="D105" s="16"/>
      <c r="E105" s="16"/>
      <c r="F105" s="16"/>
      <c r="G105" s="17"/>
      <c r="H105" s="17"/>
      <c r="I105" s="18"/>
      <c r="J105" s="18"/>
      <c r="K105" s="19"/>
      <c r="L105" s="19"/>
      <c r="M105" s="19"/>
      <c r="N105" s="19"/>
      <c r="O105" s="19"/>
      <c r="P105" s="19"/>
    </row>
    <row r="106" spans="1:16" ht="12.75" hidden="1" x14ac:dyDescent="0.2">
      <c r="A106" s="165"/>
      <c r="B106" s="166"/>
      <c r="C106" s="166"/>
      <c r="D106" s="166"/>
      <c r="E106" s="16"/>
      <c r="F106" s="16"/>
      <c r="G106" s="17"/>
      <c r="H106" s="17"/>
      <c r="I106" s="18"/>
      <c r="J106" s="18"/>
      <c r="K106" s="19"/>
      <c r="L106" s="19"/>
      <c r="M106" s="19"/>
      <c r="N106" s="19"/>
      <c r="O106" s="19"/>
      <c r="P106" s="19"/>
    </row>
    <row r="107" spans="1:16" ht="19.5" hidden="1" x14ac:dyDescent="0.3">
      <c r="A107" s="148"/>
      <c r="B107" s="149"/>
      <c r="C107" s="149"/>
      <c r="D107" s="167" t="s">
        <v>45</v>
      </c>
      <c r="E107" s="168"/>
      <c r="F107" s="155"/>
      <c r="G107" s="153"/>
      <c r="H107" s="43"/>
      <c r="I107" s="45"/>
      <c r="J107" s="45"/>
      <c r="K107" s="46"/>
      <c r="L107" s="46"/>
      <c r="M107" s="46"/>
      <c r="N107" s="46"/>
      <c r="O107" s="145"/>
      <c r="P107" s="145"/>
    </row>
    <row r="108" spans="1:16" ht="18.75" hidden="1" x14ac:dyDescent="0.25">
      <c r="A108" s="148"/>
      <c r="B108" s="149"/>
      <c r="C108" s="149"/>
      <c r="D108" s="159" t="s">
        <v>46</v>
      </c>
      <c r="E108" s="155"/>
      <c r="F108" s="155"/>
      <c r="G108" s="153"/>
      <c r="H108" s="44" t="s">
        <v>44</v>
      </c>
      <c r="I108" s="169">
        <f ca="1">IFERROR(__xludf.DUMMYFUNCTION("IMPORTRANGE(""https://docs.google.com/spreadsheets/d/1eHaY18a8A9IcSdp1K8H6x8fbOy06t2VsZHhMHf-1x7Y/edit?usp=sharing"",""แผน!N29"")"),0)</f>
        <v>0</v>
      </c>
      <c r="J108" s="250">
        <v>0</v>
      </c>
      <c r="K108" s="47">
        <f ca="1">IF(I108&gt;0,J108*100/I108,0)</f>
        <v>0</v>
      </c>
      <c r="L108" s="46"/>
      <c r="M108" s="46"/>
      <c r="N108" s="46"/>
      <c r="O108" s="145"/>
      <c r="P108" s="145"/>
    </row>
    <row r="109" spans="1:16" ht="18.75" hidden="1" x14ac:dyDescent="0.25">
      <c r="A109" s="148"/>
      <c r="B109" s="149"/>
      <c r="C109" s="149"/>
      <c r="D109" s="159" t="s">
        <v>47</v>
      </c>
      <c r="E109" s="155"/>
      <c r="F109" s="155"/>
      <c r="G109" s="153"/>
      <c r="H109" s="44" t="s">
        <v>33</v>
      </c>
      <c r="I109" s="169">
        <f ca="1">IFERROR(__xludf.DUMMYFUNCTION("IMPORTRANGE(""https://docs.google.com/spreadsheets/d/1eHaY18a8A9IcSdp1K8H6x8fbOy06t2VsZHhMHf-1x7Y/edit?usp=sharing"",""แผน!O29"")"),0)</f>
        <v>0</v>
      </c>
      <c r="J109" s="250">
        <v>0</v>
      </c>
      <c r="K109" s="47">
        <f ca="1">IF(I109&gt;0,J109*100/I109,0)</f>
        <v>0</v>
      </c>
      <c r="L109" s="46"/>
      <c r="M109" s="46"/>
      <c r="N109" s="46"/>
      <c r="O109" s="145"/>
      <c r="P109" s="145"/>
    </row>
    <row r="110" spans="1:16" ht="12.75" hidden="1" x14ac:dyDescent="0.2">
      <c r="A110" s="165"/>
      <c r="B110" s="166"/>
      <c r="C110" s="166"/>
      <c r="D110" s="16"/>
      <c r="E110" s="16"/>
      <c r="F110" s="16"/>
      <c r="G110" s="17"/>
      <c r="H110" s="17"/>
      <c r="I110" s="18"/>
      <c r="J110" s="18"/>
      <c r="K110" s="19"/>
      <c r="L110" s="19"/>
      <c r="M110" s="19"/>
      <c r="N110" s="19"/>
      <c r="O110" s="19"/>
      <c r="P110" s="19"/>
    </row>
    <row r="111" spans="1:16" ht="12.75" hidden="1" x14ac:dyDescent="0.2">
      <c r="A111" s="165"/>
      <c r="B111" s="166"/>
      <c r="C111" s="166"/>
      <c r="D111" s="16"/>
      <c r="E111" s="16"/>
      <c r="F111" s="16"/>
      <c r="G111" s="17"/>
      <c r="H111" s="17"/>
      <c r="I111" s="18"/>
      <c r="J111" s="18"/>
      <c r="K111" s="19"/>
      <c r="L111" s="19"/>
      <c r="M111" s="19"/>
      <c r="N111" s="19"/>
      <c r="O111" s="19"/>
      <c r="P111" s="19"/>
    </row>
    <row r="112" spans="1:16" ht="12.75" hidden="1" x14ac:dyDescent="0.2">
      <c r="A112" s="165"/>
      <c r="B112" s="166"/>
      <c r="C112" s="166"/>
      <c r="D112" s="16"/>
      <c r="E112" s="16"/>
      <c r="F112" s="16"/>
      <c r="G112" s="17"/>
      <c r="H112" s="17"/>
      <c r="I112" s="18"/>
      <c r="J112" s="18"/>
      <c r="K112" s="19"/>
      <c r="L112" s="19"/>
      <c r="M112" s="19"/>
      <c r="N112" s="19"/>
      <c r="O112" s="19"/>
      <c r="P112" s="19"/>
    </row>
    <row r="113" spans="1:16" ht="12.75" hidden="1" x14ac:dyDescent="0.2">
      <c r="A113" s="165"/>
      <c r="B113" s="166"/>
      <c r="C113" s="166"/>
      <c r="D113" s="16"/>
      <c r="E113" s="16"/>
      <c r="F113" s="16"/>
      <c r="G113" s="17"/>
      <c r="H113" s="17"/>
      <c r="I113" s="18"/>
      <c r="J113" s="18"/>
      <c r="K113" s="19"/>
      <c r="L113" s="19"/>
      <c r="M113" s="19"/>
      <c r="N113" s="19"/>
      <c r="O113" s="19"/>
      <c r="P113" s="19"/>
    </row>
    <row r="114" spans="1:16" ht="12.75" hidden="1" x14ac:dyDescent="0.2">
      <c r="A114" s="165"/>
      <c r="B114" s="166"/>
      <c r="C114" s="166"/>
      <c r="D114" s="16"/>
      <c r="E114" s="16"/>
      <c r="F114" s="16"/>
      <c r="G114" s="17"/>
      <c r="H114" s="17"/>
      <c r="I114" s="18"/>
      <c r="J114" s="18"/>
      <c r="K114" s="19"/>
      <c r="L114" s="19"/>
      <c r="M114" s="19"/>
      <c r="N114" s="19"/>
      <c r="O114" s="19"/>
      <c r="P114" s="19"/>
    </row>
    <row r="115" spans="1:16" ht="12.75" hidden="1" x14ac:dyDescent="0.2">
      <c r="A115" s="165"/>
      <c r="B115" s="166"/>
      <c r="C115" s="166"/>
      <c r="D115" s="16"/>
      <c r="E115" s="16"/>
      <c r="F115" s="16"/>
      <c r="G115" s="17"/>
      <c r="H115" s="17"/>
      <c r="I115" s="18"/>
      <c r="J115" s="18"/>
      <c r="K115" s="19"/>
      <c r="L115" s="19"/>
      <c r="M115" s="19"/>
      <c r="N115" s="19"/>
      <c r="O115" s="19"/>
      <c r="P115" s="19"/>
    </row>
    <row r="116" spans="1:16" ht="12.75" hidden="1" x14ac:dyDescent="0.2">
      <c r="A116" s="165"/>
      <c r="B116" s="166"/>
      <c r="C116" s="166"/>
      <c r="D116" s="16"/>
      <c r="E116" s="16"/>
      <c r="F116" s="16"/>
      <c r="G116" s="17"/>
      <c r="H116" s="17"/>
      <c r="I116" s="18"/>
      <c r="J116" s="18"/>
      <c r="K116" s="19"/>
      <c r="L116" s="19"/>
      <c r="M116" s="19"/>
      <c r="N116" s="19"/>
      <c r="O116" s="19"/>
      <c r="P116" s="19"/>
    </row>
    <row r="117" spans="1:16" ht="18.75" hidden="1" x14ac:dyDescent="0.25">
      <c r="A117" s="148"/>
      <c r="B117" s="149"/>
      <c r="C117" s="149"/>
      <c r="D117" s="159" t="s">
        <v>48</v>
      </c>
      <c r="E117" s="155"/>
      <c r="F117" s="155"/>
      <c r="G117" s="153"/>
      <c r="H117" s="251" t="s">
        <v>33</v>
      </c>
      <c r="I117" s="161">
        <f ca="1">IFERROR(__xludf.DUMMYFUNCTION("IMPORTRANGE(""https://docs.google.com/spreadsheets/d/1eHaY18a8A9IcSdp1K8H6x8fbOy06t2VsZHhMHf-1x7Y/edit?usp=sharing"",""แผน!R29"")"),0)</f>
        <v>0</v>
      </c>
      <c r="J117" s="250">
        <v>0</v>
      </c>
      <c r="K117" s="47">
        <f ca="1">IF(I117&gt;0,J117*100/I117,0)</f>
        <v>0</v>
      </c>
      <c r="L117" s="46"/>
      <c r="M117" s="46"/>
      <c r="N117" s="46"/>
      <c r="O117" s="145"/>
      <c r="P117" s="145"/>
    </row>
    <row r="118" spans="1:16" ht="12.75" hidden="1" x14ac:dyDescent="0.2">
      <c r="A118" s="165"/>
      <c r="B118" s="166"/>
      <c r="C118" s="166"/>
      <c r="D118" s="166"/>
      <c r="E118" s="16"/>
      <c r="F118" s="16"/>
      <c r="G118" s="17"/>
      <c r="H118" s="17"/>
      <c r="I118" s="18"/>
      <c r="J118" s="18"/>
      <c r="K118" s="19"/>
      <c r="L118" s="19"/>
      <c r="M118" s="19"/>
      <c r="N118" s="19"/>
      <c r="O118" s="19"/>
      <c r="P118" s="19"/>
    </row>
    <row r="119" spans="1:16" ht="12.75" hidden="1" x14ac:dyDescent="0.2">
      <c r="A119" s="165"/>
      <c r="B119" s="166"/>
      <c r="C119" s="166"/>
      <c r="D119" s="166"/>
      <c r="E119" s="16"/>
      <c r="F119" s="16"/>
      <c r="G119" s="17"/>
      <c r="H119" s="17"/>
      <c r="I119" s="18"/>
      <c r="J119" s="18"/>
      <c r="K119" s="19"/>
      <c r="L119" s="19"/>
      <c r="M119" s="19"/>
      <c r="N119" s="19"/>
      <c r="O119" s="19"/>
      <c r="P119" s="19"/>
    </row>
    <row r="120" spans="1:16" ht="12.75" hidden="1" x14ac:dyDescent="0.2">
      <c r="A120" s="165"/>
      <c r="B120" s="166"/>
      <c r="C120" s="166"/>
      <c r="D120" s="166"/>
      <c r="E120" s="16"/>
      <c r="F120" s="16"/>
      <c r="G120" s="17"/>
      <c r="H120" s="17"/>
      <c r="I120" s="18"/>
      <c r="J120" s="18"/>
      <c r="K120" s="19"/>
      <c r="L120" s="19"/>
      <c r="M120" s="19"/>
      <c r="N120" s="19"/>
      <c r="O120" s="19"/>
      <c r="P120" s="19"/>
    </row>
    <row r="121" spans="1:16" ht="12.75" hidden="1" x14ac:dyDescent="0.2">
      <c r="A121" s="165"/>
      <c r="B121" s="166"/>
      <c r="C121" s="166"/>
      <c r="D121" s="166"/>
      <c r="E121" s="16"/>
      <c r="F121" s="16"/>
      <c r="G121" s="17"/>
      <c r="H121" s="17"/>
      <c r="I121" s="18"/>
      <c r="J121" s="18"/>
      <c r="K121" s="19"/>
      <c r="L121" s="19"/>
      <c r="M121" s="19"/>
      <c r="N121" s="19"/>
      <c r="O121" s="19"/>
      <c r="P121" s="19"/>
    </row>
    <row r="122" spans="1:16" ht="12.75" hidden="1" x14ac:dyDescent="0.2">
      <c r="A122" s="165"/>
      <c r="B122" s="166"/>
      <c r="C122" s="166"/>
      <c r="D122" s="166"/>
      <c r="E122" s="16"/>
      <c r="F122" s="16"/>
      <c r="G122" s="17"/>
      <c r="H122" s="17"/>
      <c r="I122" s="18"/>
      <c r="J122" s="18"/>
      <c r="K122" s="19"/>
      <c r="L122" s="19"/>
      <c r="M122" s="19"/>
      <c r="N122" s="19"/>
      <c r="O122" s="19"/>
      <c r="P122" s="19"/>
    </row>
    <row r="123" spans="1:16" ht="19.5" hidden="1" x14ac:dyDescent="0.3">
      <c r="A123" s="170" t="s">
        <v>49</v>
      </c>
      <c r="B123" s="16"/>
      <c r="C123" s="171"/>
      <c r="D123" s="16"/>
      <c r="E123" s="16"/>
      <c r="F123" s="16"/>
      <c r="G123" s="16"/>
      <c r="H123" s="16"/>
      <c r="I123" s="172"/>
      <c r="J123" s="172"/>
      <c r="K123" s="173"/>
      <c r="L123" s="19"/>
      <c r="M123" s="19"/>
      <c r="N123" s="19"/>
      <c r="O123" s="19"/>
      <c r="P123" s="19"/>
    </row>
    <row r="124" spans="1:16" ht="19.5" hidden="1" x14ac:dyDescent="0.3">
      <c r="A124" s="174"/>
      <c r="B124" s="178" t="s">
        <v>50</v>
      </c>
      <c r="C124" s="171"/>
      <c r="D124" s="166"/>
      <c r="E124" s="16"/>
      <c r="F124" s="16"/>
      <c r="G124" s="17"/>
      <c r="H124" s="17"/>
      <c r="I124" s="176">
        <v>0</v>
      </c>
      <c r="J124" s="176">
        <v>0</v>
      </c>
      <c r="K124" s="177">
        <v>0</v>
      </c>
      <c r="L124" s="19"/>
      <c r="M124" s="19"/>
      <c r="N124" s="19"/>
      <c r="O124" s="19"/>
      <c r="P124" s="19"/>
    </row>
    <row r="125" spans="1:16" ht="19.5" hidden="1" x14ac:dyDescent="0.3">
      <c r="A125" s="174"/>
      <c r="B125" s="16"/>
      <c r="C125" s="178" t="s">
        <v>16</v>
      </c>
      <c r="D125" s="402" t="s">
        <v>17</v>
      </c>
      <c r="E125" s="16"/>
      <c r="F125" s="16"/>
      <c r="G125" s="17"/>
      <c r="H125" s="180" t="s">
        <v>12</v>
      </c>
      <c r="I125" s="18"/>
      <c r="J125" s="18"/>
      <c r="K125" s="19"/>
      <c r="L125" s="181">
        <f ca="1">L126+L127</f>
        <v>0</v>
      </c>
      <c r="M125" s="181">
        <f ca="1">M126+M127</f>
        <v>0</v>
      </c>
      <c r="N125" s="181">
        <f ca="1">N126+N127</f>
        <v>0</v>
      </c>
      <c r="O125" s="181">
        <f ca="1">IF(L125&gt;0,N125*100/L125,0)</f>
        <v>0</v>
      </c>
      <c r="P125" s="181">
        <f ca="1">IF(M125&gt;0,N125*100/M125,0)</f>
        <v>0</v>
      </c>
    </row>
    <row r="126" spans="1:16" ht="18.75" hidden="1" x14ac:dyDescent="0.25">
      <c r="A126" s="174"/>
      <c r="B126" s="16"/>
      <c r="C126" s="16"/>
      <c r="D126" s="16"/>
      <c r="E126" s="182" t="s">
        <v>18</v>
      </c>
      <c r="F126" s="16"/>
      <c r="G126" s="17"/>
      <c r="H126" s="183" t="s">
        <v>12</v>
      </c>
      <c r="I126" s="18"/>
      <c r="J126" s="18"/>
      <c r="K126" s="19"/>
      <c r="L126" s="184">
        <f>L129+L132</f>
        <v>0</v>
      </c>
      <c r="M126" s="184">
        <f>M129+M132</f>
        <v>0</v>
      </c>
      <c r="N126" s="184">
        <f>N129+N132</f>
        <v>0</v>
      </c>
      <c r="O126" s="184">
        <f>IF(L126&gt;0,N126*100/L126,0)</f>
        <v>0</v>
      </c>
      <c r="P126" s="184">
        <f>IF(M126&gt;0,N126*100/M126,0)</f>
        <v>0</v>
      </c>
    </row>
    <row r="127" spans="1:16" ht="18.75" hidden="1" x14ac:dyDescent="0.25">
      <c r="A127" s="174"/>
      <c r="B127" s="16"/>
      <c r="C127" s="16"/>
      <c r="D127" s="16"/>
      <c r="E127" s="185" t="s">
        <v>19</v>
      </c>
      <c r="F127" s="16"/>
      <c r="G127" s="17"/>
      <c r="H127" s="186" t="s">
        <v>12</v>
      </c>
      <c r="I127" s="18"/>
      <c r="J127" s="18"/>
      <c r="K127" s="19"/>
      <c r="L127" s="177">
        <f ca="1">L130+L133</f>
        <v>0</v>
      </c>
      <c r="M127" s="177">
        <f ca="1">M130+M133</f>
        <v>0</v>
      </c>
      <c r="N127" s="177">
        <f ca="1">N130+N133</f>
        <v>0</v>
      </c>
      <c r="O127" s="177">
        <f ca="1">IF(L127&gt;0,N127*100/L127,0)</f>
        <v>0</v>
      </c>
      <c r="P127" s="177">
        <f ca="1">IF(M127&gt;0,N127*100/M127,0)</f>
        <v>0</v>
      </c>
    </row>
    <row r="128" spans="1:16" ht="18.75" hidden="1" x14ac:dyDescent="0.25">
      <c r="A128" s="174"/>
      <c r="B128" s="16"/>
      <c r="C128" s="16"/>
      <c r="D128" s="401" t="s">
        <v>20</v>
      </c>
      <c r="E128" s="16"/>
      <c r="F128" s="16"/>
      <c r="G128" s="17"/>
      <c r="H128" s="188" t="s">
        <v>12</v>
      </c>
      <c r="I128" s="18"/>
      <c r="J128" s="18"/>
      <c r="K128" s="19"/>
      <c r="L128" s="177">
        <f ca="1">L129+L130</f>
        <v>0</v>
      </c>
      <c r="M128" s="177">
        <f ca="1">M129+M130</f>
        <v>0</v>
      </c>
      <c r="N128" s="177">
        <f ca="1">N129+N130</f>
        <v>0</v>
      </c>
      <c r="O128" s="177">
        <f ca="1">IF(L128&gt;0,N128*100/L128,0)</f>
        <v>0</v>
      </c>
      <c r="P128" s="177">
        <f ca="1">IF(M128&gt;0,N128*100/M128,0)</f>
        <v>0</v>
      </c>
    </row>
    <row r="129" spans="1:16" ht="18.75" hidden="1" x14ac:dyDescent="0.25">
      <c r="A129" s="174"/>
      <c r="B129" s="16"/>
      <c r="C129" s="16"/>
      <c r="D129" s="16"/>
      <c r="E129" s="182" t="s">
        <v>34</v>
      </c>
      <c r="F129" s="16"/>
      <c r="G129" s="17"/>
      <c r="H129" s="189" t="s">
        <v>12</v>
      </c>
      <c r="I129" s="18"/>
      <c r="J129" s="18"/>
      <c r="K129" s="19"/>
      <c r="L129" s="184">
        <v>0</v>
      </c>
      <c r="M129" s="184">
        <v>0</v>
      </c>
      <c r="N129" s="184">
        <v>0</v>
      </c>
      <c r="O129" s="184">
        <f>IF(L129&gt;0,N129*100/L129,0)</f>
        <v>0</v>
      </c>
      <c r="P129" s="184">
        <f>IF(M129&gt;0,N129*100/M129,0)</f>
        <v>0</v>
      </c>
    </row>
    <row r="130" spans="1:16" ht="18.75" hidden="1" x14ac:dyDescent="0.25">
      <c r="A130" s="174"/>
      <c r="B130" s="16"/>
      <c r="C130" s="16"/>
      <c r="D130" s="16"/>
      <c r="E130" s="185" t="s">
        <v>35</v>
      </c>
      <c r="F130" s="16"/>
      <c r="G130" s="17"/>
      <c r="H130" s="188" t="s">
        <v>12</v>
      </c>
      <c r="I130" s="18"/>
      <c r="J130" s="18"/>
      <c r="K130" s="19"/>
      <c r="L130" s="177">
        <f ca="1">IFERROR(__xludf.DUMMYFUNCTION("IMPORTRANGE(""https://docs.google.com/spreadsheets/d/1-uDff_7J0KD5mKrp0Vvzr7lt3OU09vwQwhkpOPPYv2Y/edit?usp=sharing"",""งบพรบ!BG29"")"),0)</f>
        <v>0</v>
      </c>
      <c r="M130" s="177">
        <f ca="1">IFERROR(__xludf.DUMMYFUNCTION("IMPORTRANGE(""https://docs.google.com/spreadsheets/d/1-uDff_7J0KD5mKrp0Vvzr7lt3OU09vwQwhkpOPPYv2Y/edit?usp=sharing"",""งบพรบ!BL29"")"),0)</f>
        <v>0</v>
      </c>
      <c r="N130" s="177">
        <f ca="1">IFERROR(__xludf.DUMMYFUNCTION("IMPORTRANGE(""https://docs.google.com/spreadsheets/d/1-uDff_7J0KD5mKrp0Vvzr7lt3OU09vwQwhkpOPPYv2Y/edit?usp=sharing"",""งบพรบ!BN29"")"),0)</f>
        <v>0</v>
      </c>
      <c r="O130" s="177">
        <f ca="1">IF(L130&gt;0,N130*100/L130,0)</f>
        <v>0</v>
      </c>
      <c r="P130" s="177">
        <f ca="1">IF(M130&gt;0,N130*100/M130,0)</f>
        <v>0</v>
      </c>
    </row>
    <row r="131" spans="1:16" ht="18.75" hidden="1" x14ac:dyDescent="0.25">
      <c r="A131" s="174"/>
      <c r="B131" s="16"/>
      <c r="C131" s="16"/>
      <c r="D131" s="401" t="s">
        <v>21</v>
      </c>
      <c r="E131" s="16"/>
      <c r="F131" s="16"/>
      <c r="G131" s="17"/>
      <c r="H131" s="186" t="s">
        <v>12</v>
      </c>
      <c r="I131" s="18"/>
      <c r="J131" s="18"/>
      <c r="K131" s="19"/>
      <c r="L131" s="177">
        <f ca="1">L132+L133</f>
        <v>0</v>
      </c>
      <c r="M131" s="177">
        <f ca="1">M132+M133</f>
        <v>0</v>
      </c>
      <c r="N131" s="177">
        <f ca="1">N132+N133</f>
        <v>0</v>
      </c>
      <c r="O131" s="177">
        <f ca="1">IF(L131&gt;0,N131*100/L131,0)</f>
        <v>0</v>
      </c>
      <c r="P131" s="177">
        <f ca="1">IF(M131&gt;0,N131*100/M131,0)</f>
        <v>0</v>
      </c>
    </row>
    <row r="132" spans="1:16" ht="18.75" hidden="1" x14ac:dyDescent="0.25">
      <c r="A132" s="174"/>
      <c r="B132" s="16"/>
      <c r="C132" s="16"/>
      <c r="D132" s="16"/>
      <c r="E132" s="182" t="s">
        <v>18</v>
      </c>
      <c r="F132" s="16"/>
      <c r="G132" s="17"/>
      <c r="H132" s="189" t="s">
        <v>12</v>
      </c>
      <c r="I132" s="18"/>
      <c r="J132" s="18"/>
      <c r="K132" s="19"/>
      <c r="L132" s="184">
        <v>0</v>
      </c>
      <c r="M132" s="184">
        <v>0</v>
      </c>
      <c r="N132" s="184">
        <v>0</v>
      </c>
      <c r="O132" s="184">
        <f>IF(L132&gt;0,N132*100/L132,0)</f>
        <v>0</v>
      </c>
      <c r="P132" s="184">
        <f>IF(M132&gt;0,N132*100/M132,0)</f>
        <v>0</v>
      </c>
    </row>
    <row r="133" spans="1:16" ht="18.75" hidden="1" x14ac:dyDescent="0.25">
      <c r="A133" s="174"/>
      <c r="B133" s="16"/>
      <c r="C133" s="16"/>
      <c r="D133" s="16"/>
      <c r="E133" s="185" t="s">
        <v>19</v>
      </c>
      <c r="F133" s="16"/>
      <c r="G133" s="17"/>
      <c r="H133" s="186" t="s">
        <v>12</v>
      </c>
      <c r="I133" s="18"/>
      <c r="J133" s="18"/>
      <c r="K133" s="19"/>
      <c r="L133" s="177">
        <f ca="1">IFERROR(__xludf.DUMMYFUNCTION("IMPORTRANGE(""https://docs.google.com/spreadsheets/d/1-uDff_7J0KD5mKrp0Vvzr7lt3OU09vwQwhkpOPPYv2Y/edit?usp=sharing"",""งบพรบ!BJ29"")"),0)</f>
        <v>0</v>
      </c>
      <c r="M133" s="177">
        <f ca="1">IFERROR(__xludf.DUMMYFUNCTION("IMPORTRANGE(""https://docs.google.com/spreadsheets/d/1-uDff_7J0KD5mKrp0Vvzr7lt3OU09vwQwhkpOPPYv2Y/edit?usp=sharing"",""งบพรบ!BM29"")"),0)</f>
        <v>0</v>
      </c>
      <c r="N133" s="177">
        <f ca="1">IFERROR(__xludf.DUMMYFUNCTION("IMPORTRANGE(""https://docs.google.com/spreadsheets/d/1-uDff_7J0KD5mKrp0Vvzr7lt3OU09vwQwhkpOPPYv2Y/edit?usp=sharing"",""งบพรบ!BO29"")"),0)</f>
        <v>0</v>
      </c>
      <c r="O133" s="177">
        <f ca="1">IF(L133&gt;0,N133*100/L133,0)</f>
        <v>0</v>
      </c>
      <c r="P133" s="177">
        <f ca="1">IF(M133&gt;0,N133*100/M133,0)</f>
        <v>0</v>
      </c>
    </row>
    <row r="134" spans="1:16" ht="19.5" x14ac:dyDescent="0.3">
      <c r="A134" s="125" t="s">
        <v>51</v>
      </c>
      <c r="B134" s="126"/>
      <c r="C134" s="190"/>
      <c r="D134" s="126"/>
      <c r="E134" s="126"/>
      <c r="F134" s="126"/>
      <c r="G134" s="126"/>
      <c r="H134" s="126"/>
      <c r="I134" s="191"/>
      <c r="J134" s="191"/>
      <c r="K134" s="192"/>
      <c r="L134" s="130"/>
      <c r="M134" s="130"/>
      <c r="N134" s="130"/>
      <c r="O134" s="130"/>
      <c r="P134" s="130"/>
    </row>
    <row r="135" spans="1:16" ht="19.5" x14ac:dyDescent="0.3">
      <c r="A135" s="131"/>
      <c r="B135" s="132" t="s">
        <v>52</v>
      </c>
      <c r="C135" s="193"/>
      <c r="D135" s="133"/>
      <c r="E135" s="26"/>
      <c r="F135" s="26"/>
      <c r="G135" s="26"/>
      <c r="H135" s="26"/>
      <c r="I135" s="194"/>
      <c r="J135" s="31"/>
      <c r="K135" s="32"/>
      <c r="L135" s="32"/>
      <c r="M135" s="32"/>
      <c r="N135" s="32"/>
      <c r="O135" s="32"/>
      <c r="P135" s="32"/>
    </row>
    <row r="136" spans="1:16" ht="19.5" x14ac:dyDescent="0.3">
      <c r="A136" s="131"/>
      <c r="B136" s="26"/>
      <c r="C136" s="195" t="s">
        <v>53</v>
      </c>
      <c r="D136" s="133"/>
      <c r="E136" s="26"/>
      <c r="F136" s="26"/>
      <c r="G136" s="29"/>
      <c r="H136" s="134" t="s">
        <v>54</v>
      </c>
      <c r="I136" s="135">
        <f ca="1">I154</f>
        <v>1</v>
      </c>
      <c r="J136" s="135">
        <f>J154</f>
        <v>0</v>
      </c>
      <c r="K136" s="33">
        <f ca="1">IF(I136&gt;0,J136*100/I136,0)</f>
        <v>0</v>
      </c>
      <c r="L136" s="32"/>
      <c r="M136" s="32"/>
      <c r="N136" s="32"/>
      <c r="O136" s="32"/>
      <c r="P136" s="32"/>
    </row>
    <row r="137" spans="1:16" ht="19.5" x14ac:dyDescent="0.3">
      <c r="A137" s="131"/>
      <c r="B137" s="26"/>
      <c r="C137" s="195" t="s">
        <v>55</v>
      </c>
      <c r="D137" s="133"/>
      <c r="E137" s="26"/>
      <c r="F137" s="26"/>
      <c r="G137" s="29"/>
      <c r="H137" s="134" t="s">
        <v>33</v>
      </c>
      <c r="I137" s="135">
        <f ca="1">I152</f>
        <v>20</v>
      </c>
      <c r="J137" s="135">
        <f>J152</f>
        <v>0</v>
      </c>
      <c r="K137" s="33">
        <f ca="1">IF(I137&gt;0,J137*100/I137,0)</f>
        <v>0</v>
      </c>
      <c r="L137" s="32"/>
      <c r="M137" s="32"/>
      <c r="N137" s="32"/>
      <c r="O137" s="32"/>
      <c r="P137" s="32"/>
    </row>
    <row r="138" spans="1:16" ht="19.5" x14ac:dyDescent="0.3">
      <c r="A138" s="131"/>
      <c r="B138" s="26"/>
      <c r="C138" s="193"/>
      <c r="D138" s="133"/>
      <c r="E138" s="26"/>
      <c r="F138" s="26"/>
      <c r="G138" s="29"/>
      <c r="H138" s="134" t="s">
        <v>56</v>
      </c>
      <c r="I138" s="135">
        <f ca="1">I153</f>
        <v>2</v>
      </c>
      <c r="J138" s="135">
        <f>J153</f>
        <v>0</v>
      </c>
      <c r="K138" s="33">
        <f ca="1">IF(I138&gt;0,J138*100/I138,0)</f>
        <v>0</v>
      </c>
      <c r="L138" s="32"/>
      <c r="M138" s="32"/>
      <c r="N138" s="32"/>
      <c r="O138" s="32"/>
      <c r="P138" s="32"/>
    </row>
    <row r="139" spans="1:16" ht="19.5" x14ac:dyDescent="0.3">
      <c r="A139" s="136"/>
      <c r="B139" s="41"/>
      <c r="C139" s="197" t="s">
        <v>16</v>
      </c>
      <c r="D139" s="397" t="s">
        <v>17</v>
      </c>
      <c r="E139" s="41"/>
      <c r="F139" s="41"/>
      <c r="G139" s="43"/>
      <c r="H139" s="139" t="s">
        <v>12</v>
      </c>
      <c r="I139" s="45"/>
      <c r="J139" s="45"/>
      <c r="K139" s="46"/>
      <c r="L139" s="140">
        <f ca="1">L140+L141</f>
        <v>136400</v>
      </c>
      <c r="M139" s="140">
        <f ca="1">M140+M141</f>
        <v>106900</v>
      </c>
      <c r="N139" s="140">
        <f ca="1">N140+N141</f>
        <v>60897.63</v>
      </c>
      <c r="O139" s="140">
        <f ca="1">IF(L139&gt;0,N139*100/L139,0)</f>
        <v>44.646356304985339</v>
      </c>
      <c r="P139" s="140">
        <f ca="1">IF(M139&gt;0,N139*100/M139,0)</f>
        <v>56.966913002806358</v>
      </c>
    </row>
    <row r="140" spans="1:16" ht="18.75" hidden="1" x14ac:dyDescent="0.25">
      <c r="A140" s="136"/>
      <c r="B140" s="41"/>
      <c r="C140" s="41"/>
      <c r="D140" s="41"/>
      <c r="E140" s="279" t="s">
        <v>18</v>
      </c>
      <c r="F140" s="41"/>
      <c r="G140" s="43"/>
      <c r="H140" s="141" t="s">
        <v>12</v>
      </c>
      <c r="I140" s="45"/>
      <c r="J140" s="45"/>
      <c r="K140" s="46"/>
      <c r="L140" s="50">
        <f>L143+L146</f>
        <v>0</v>
      </c>
      <c r="M140" s="50">
        <f>M143+M146</f>
        <v>0</v>
      </c>
      <c r="N140" s="50">
        <f>N143+N146</f>
        <v>0</v>
      </c>
      <c r="O140" s="50">
        <f>IF(L140&gt;0,N140*100/L140,0)</f>
        <v>0</v>
      </c>
      <c r="P140" s="50">
        <f>IF(M140&gt;0,N140*100/M140,0)</f>
        <v>0</v>
      </c>
    </row>
    <row r="141" spans="1:16" ht="18.75" x14ac:dyDescent="0.25">
      <c r="A141" s="136"/>
      <c r="B141" s="41"/>
      <c r="C141" s="41"/>
      <c r="D141" s="41"/>
      <c r="E141" s="254" t="s">
        <v>19</v>
      </c>
      <c r="F141" s="41"/>
      <c r="G141" s="43"/>
      <c r="H141" s="142" t="s">
        <v>12</v>
      </c>
      <c r="I141" s="45"/>
      <c r="J141" s="45"/>
      <c r="K141" s="46"/>
      <c r="L141" s="47">
        <f ca="1">L144+L147</f>
        <v>136400</v>
      </c>
      <c r="M141" s="47">
        <f ca="1">M144+M147</f>
        <v>106900</v>
      </c>
      <c r="N141" s="47">
        <f ca="1">N144+N147</f>
        <v>60897.63</v>
      </c>
      <c r="O141" s="47">
        <f ca="1">IF(L141&gt;0,N141*100/L141,0)</f>
        <v>44.646356304985339</v>
      </c>
      <c r="P141" s="47">
        <f ca="1">IF(M141&gt;0,N141*100/M141,0)</f>
        <v>56.966913002806358</v>
      </c>
    </row>
    <row r="142" spans="1:16" ht="18.75" x14ac:dyDescent="0.25">
      <c r="A142" s="136"/>
      <c r="B142" s="41"/>
      <c r="C142" s="41"/>
      <c r="D142" s="42" t="s">
        <v>20</v>
      </c>
      <c r="E142" s="41"/>
      <c r="F142" s="41"/>
      <c r="G142" s="43"/>
      <c r="H142" s="143" t="s">
        <v>12</v>
      </c>
      <c r="I142" s="144"/>
      <c r="J142" s="144"/>
      <c r="K142" s="145"/>
      <c r="L142" s="47">
        <f ca="1">L143+L144</f>
        <v>136400</v>
      </c>
      <c r="M142" s="47">
        <f ca="1">M143+M144</f>
        <v>106900</v>
      </c>
      <c r="N142" s="47">
        <f ca="1">N143+N144</f>
        <v>60897.63</v>
      </c>
      <c r="O142" s="47">
        <f ca="1">IF(L142&gt;0,N142*100/L142,0)</f>
        <v>44.646356304985339</v>
      </c>
      <c r="P142" s="47">
        <f ca="1">IF(M142&gt;0,N142*100/M142,0)</f>
        <v>56.966913002806358</v>
      </c>
    </row>
    <row r="143" spans="1:16" ht="18.75" hidden="1" x14ac:dyDescent="0.25">
      <c r="A143" s="136"/>
      <c r="B143" s="41"/>
      <c r="C143" s="41"/>
      <c r="D143" s="41"/>
      <c r="E143" s="279" t="s">
        <v>34</v>
      </c>
      <c r="F143" s="41"/>
      <c r="G143" s="43"/>
      <c r="H143" s="146" t="s">
        <v>12</v>
      </c>
      <c r="I143" s="144"/>
      <c r="J143" s="144"/>
      <c r="K143" s="145"/>
      <c r="L143" s="50">
        <v>0</v>
      </c>
      <c r="M143" s="50">
        <v>0</v>
      </c>
      <c r="N143" s="50">
        <v>0</v>
      </c>
      <c r="O143" s="50">
        <f>IF(L143&gt;0,N143*100/L143,0)</f>
        <v>0</v>
      </c>
      <c r="P143" s="50">
        <f>IF(M143&gt;0,N143*100/M143,0)</f>
        <v>0</v>
      </c>
    </row>
    <row r="144" spans="1:16" ht="18.75" x14ac:dyDescent="0.25">
      <c r="A144" s="136"/>
      <c r="B144" s="41"/>
      <c r="C144" s="41"/>
      <c r="D144" s="41"/>
      <c r="E144" s="254" t="s">
        <v>35</v>
      </c>
      <c r="F144" s="41"/>
      <c r="G144" s="43"/>
      <c r="H144" s="143" t="s">
        <v>12</v>
      </c>
      <c r="I144" s="144"/>
      <c r="J144" s="144"/>
      <c r="K144" s="145"/>
      <c r="L144" s="47">
        <f ca="1">IFERROR(__xludf.DUMMYFUNCTION("IMPORTRANGE(""https://docs.google.com/spreadsheets/d/1-uDff_7J0KD5mKrp0Vvzr7lt3OU09vwQwhkpOPPYv2Y/edit?usp=sharing"",""งบพรบ!BQ29"")"),136400)</f>
        <v>136400</v>
      </c>
      <c r="M144" s="47">
        <f ca="1">IFERROR(__xludf.DUMMYFUNCTION("IMPORTRANGE(""https://docs.google.com/spreadsheets/d/1-uDff_7J0KD5mKrp0Vvzr7lt3OU09vwQwhkpOPPYv2Y/edit?usp=sharing"",""งบพรบ!BV29"")"),106900)</f>
        <v>106900</v>
      </c>
      <c r="N144" s="47">
        <f ca="1">IFERROR(__xludf.DUMMYFUNCTION("IMPORTRANGE(""https://docs.google.com/spreadsheets/d/1-uDff_7J0KD5mKrp0Vvzr7lt3OU09vwQwhkpOPPYv2Y/edit?usp=sharing"",""งบพรบ!BX29"")"),60897.63)</f>
        <v>60897.63</v>
      </c>
      <c r="O144" s="47">
        <f ca="1">IF(L144&gt;0,N144*100/L144,0)</f>
        <v>44.646356304985339</v>
      </c>
      <c r="P144" s="47">
        <f ca="1">IF(M144&gt;0,N144*100/M144,0)</f>
        <v>56.966913002806358</v>
      </c>
    </row>
    <row r="145" spans="1:16" ht="18.75" x14ac:dyDescent="0.25">
      <c r="A145" s="136"/>
      <c r="B145" s="41"/>
      <c r="C145" s="41"/>
      <c r="D145" s="42" t="s">
        <v>21</v>
      </c>
      <c r="E145" s="41"/>
      <c r="F145" s="41"/>
      <c r="G145" s="43"/>
      <c r="H145" s="147" t="s">
        <v>12</v>
      </c>
      <c r="I145" s="144"/>
      <c r="J145" s="144"/>
      <c r="K145" s="145"/>
      <c r="L145" s="47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</row>
    <row r="146" spans="1:16" ht="18.75" hidden="1" x14ac:dyDescent="0.25">
      <c r="A146" s="136"/>
      <c r="B146" s="41"/>
      <c r="C146" s="41"/>
      <c r="D146" s="41"/>
      <c r="E146" s="279" t="s">
        <v>18</v>
      </c>
      <c r="F146" s="41"/>
      <c r="G146" s="43"/>
      <c r="H146" s="146" t="s">
        <v>12</v>
      </c>
      <c r="I146" s="144"/>
      <c r="J146" s="144"/>
      <c r="K146" s="145"/>
      <c r="L146" s="50">
        <v>0</v>
      </c>
      <c r="M146" s="50">
        <v>0</v>
      </c>
      <c r="N146" s="50">
        <v>0</v>
      </c>
      <c r="O146" s="50">
        <f>IF(L146&gt;0,N146*100/L146,0)</f>
        <v>0</v>
      </c>
      <c r="P146" s="50">
        <f>IF(M146&gt;0,N146*100/M146,0)</f>
        <v>0</v>
      </c>
    </row>
    <row r="147" spans="1:16" ht="18.75" x14ac:dyDescent="0.25">
      <c r="A147" s="136"/>
      <c r="B147" s="41"/>
      <c r="C147" s="41"/>
      <c r="D147" s="41"/>
      <c r="E147" s="254" t="s">
        <v>19</v>
      </c>
      <c r="F147" s="41"/>
      <c r="G147" s="43"/>
      <c r="H147" s="147" t="s">
        <v>12</v>
      </c>
      <c r="I147" s="144"/>
      <c r="J147" s="144"/>
      <c r="K147" s="145"/>
      <c r="L147" s="47">
        <f ca="1">IFERROR(__xludf.DUMMYFUNCTION("IMPORTRANGE(""https://docs.google.com/spreadsheets/d/1-uDff_7J0KD5mKrp0Vvzr7lt3OU09vwQwhkpOPPYv2Y/edit?usp=sharing"",""งบพรบ!BT29"")"),0)</f>
        <v>0</v>
      </c>
      <c r="M147" s="47">
        <f ca="1">IFERROR(__xludf.DUMMYFUNCTION("IMPORTRANGE(""https://docs.google.com/spreadsheets/d/1-uDff_7J0KD5mKrp0Vvzr7lt3OU09vwQwhkpOPPYv2Y/edit?usp=sharing"",""งบพรบ!BW29"")"),0)</f>
        <v>0</v>
      </c>
      <c r="N147" s="47">
        <f ca="1">IFERROR(__xludf.DUMMYFUNCTION("IMPORTRANGE(""https://docs.google.com/spreadsheets/d/1-uDff_7J0KD5mKrp0Vvzr7lt3OU09vwQwhkpOPPYv2Y/edit?usp=sharing"",""งบพรบ!BY29"")"),0)</f>
        <v>0</v>
      </c>
      <c r="O147" s="47">
        <f ca="1">IF(L147&gt;0,N147*100/L147,0)</f>
        <v>0</v>
      </c>
      <c r="P147" s="47">
        <f ca="1">IF(M147&gt;0,N147*100/M147,0)</f>
        <v>0</v>
      </c>
    </row>
    <row r="148" spans="1:16" ht="19.5" x14ac:dyDescent="0.3">
      <c r="A148" s="148"/>
      <c r="B148" s="149"/>
      <c r="C148" s="197" t="s">
        <v>16</v>
      </c>
      <c r="D148" s="395" t="s">
        <v>36</v>
      </c>
      <c r="E148" s="151"/>
      <c r="F148" s="151"/>
      <c r="G148" s="152"/>
      <c r="H148" s="196"/>
      <c r="I148" s="45"/>
      <c r="J148" s="45"/>
      <c r="K148" s="46"/>
      <c r="L148" s="46"/>
      <c r="M148" s="46"/>
      <c r="N148" s="46"/>
      <c r="O148" s="46"/>
      <c r="P148" s="46"/>
    </row>
    <row r="149" spans="1:16" ht="18.75" x14ac:dyDescent="0.25">
      <c r="A149" s="136"/>
      <c r="B149" s="41"/>
      <c r="C149" s="41"/>
      <c r="D149" s="254" t="s">
        <v>57</v>
      </c>
      <c r="E149" s="41"/>
      <c r="F149" s="41"/>
      <c r="G149" s="43"/>
      <c r="H149" s="196"/>
      <c r="I149" s="45"/>
      <c r="J149" s="250">
        <v>0</v>
      </c>
      <c r="K149" s="46"/>
      <c r="L149" s="46"/>
      <c r="M149" s="46"/>
      <c r="N149" s="46"/>
      <c r="O149" s="46"/>
      <c r="P149" s="46"/>
    </row>
    <row r="150" spans="1:16" ht="19.5" x14ac:dyDescent="0.3">
      <c r="A150" s="136"/>
      <c r="B150" s="41"/>
      <c r="C150" s="41"/>
      <c r="D150" s="155"/>
      <c r="E150" s="197" t="s">
        <v>58</v>
      </c>
      <c r="F150" s="41"/>
      <c r="G150" s="43"/>
      <c r="H150" s="147" t="s">
        <v>33</v>
      </c>
      <c r="I150" s="169">
        <f ca="1">IFERROR(__xludf.DUMMYFUNCTION("IMPORTRANGE(""https://docs.google.com/spreadsheets/d/1eHaY18a8A9IcSdp1K8H6x8fbOy06t2VsZHhMHf-1x7Y/edit?usp=sharing"",""แผน!U29"")"),10)</f>
        <v>10</v>
      </c>
      <c r="J150" s="250">
        <v>0</v>
      </c>
      <c r="K150" s="47">
        <f ca="1">IF(I150&gt;0,J150*100/I150,0)</f>
        <v>0</v>
      </c>
      <c r="L150" s="46"/>
      <c r="M150" s="46"/>
      <c r="N150" s="46"/>
      <c r="O150" s="46"/>
      <c r="P150" s="46"/>
    </row>
    <row r="151" spans="1:16" ht="18.75" x14ac:dyDescent="0.25">
      <c r="A151" s="136"/>
      <c r="B151" s="41"/>
      <c r="C151" s="41"/>
      <c r="D151" s="155"/>
      <c r="E151" s="41"/>
      <c r="F151" s="41"/>
      <c r="G151" s="43"/>
      <c r="H151" s="147" t="s">
        <v>56</v>
      </c>
      <c r="I151" s="169">
        <f ca="1">IFERROR(__xludf.DUMMYFUNCTION("IMPORTRANGE(""https://docs.google.com/spreadsheets/d/1eHaY18a8A9IcSdp1K8H6x8fbOy06t2VsZHhMHf-1x7Y/edit?usp=sharing"",""แผน!V29"")"),1)</f>
        <v>1</v>
      </c>
      <c r="J151" s="250">
        <v>0</v>
      </c>
      <c r="K151" s="47">
        <f ca="1">IF(I151&gt;0,J151*100/I151,0)</f>
        <v>0</v>
      </c>
      <c r="L151" s="46"/>
      <c r="M151" s="46"/>
      <c r="N151" s="46"/>
      <c r="O151" s="46"/>
      <c r="P151" s="46"/>
    </row>
    <row r="152" spans="1:16" ht="19.5" x14ac:dyDescent="0.3">
      <c r="A152" s="136"/>
      <c r="B152" s="41"/>
      <c r="C152" s="41"/>
      <c r="D152" s="155"/>
      <c r="E152" s="197" t="s">
        <v>59</v>
      </c>
      <c r="F152" s="41"/>
      <c r="G152" s="43"/>
      <c r="H152" s="147" t="s">
        <v>33</v>
      </c>
      <c r="I152" s="169">
        <f ca="1">IFERROR(__xludf.DUMMYFUNCTION("IMPORTRANGE(""https://docs.google.com/spreadsheets/d/1eHaY18a8A9IcSdp1K8H6x8fbOy06t2VsZHhMHf-1x7Y/edit?usp=sharing"",""แผน!W29"")"),20)</f>
        <v>20</v>
      </c>
      <c r="J152" s="250">
        <v>0</v>
      </c>
      <c r="K152" s="47">
        <f ca="1">IF(I152&gt;0,J152*100/I152,0)</f>
        <v>0</v>
      </c>
      <c r="L152" s="46"/>
      <c r="M152" s="46"/>
      <c r="N152" s="46"/>
      <c r="O152" s="46"/>
      <c r="P152" s="46"/>
    </row>
    <row r="153" spans="1:16" ht="18.75" x14ac:dyDescent="0.25">
      <c r="A153" s="136"/>
      <c r="B153" s="41"/>
      <c r="C153" s="41"/>
      <c r="D153" s="41"/>
      <c r="E153" s="41"/>
      <c r="F153" s="41"/>
      <c r="G153" s="43"/>
      <c r="H153" s="147" t="s">
        <v>56</v>
      </c>
      <c r="I153" s="169">
        <f ca="1">IFERROR(__xludf.DUMMYFUNCTION("IMPORTRANGE(""https://docs.google.com/spreadsheets/d/1eHaY18a8A9IcSdp1K8H6x8fbOy06t2VsZHhMHf-1x7Y/edit?usp=sharing"",""แผน!X29"")"),2)</f>
        <v>2</v>
      </c>
      <c r="J153" s="250">
        <v>0</v>
      </c>
      <c r="K153" s="47">
        <f ca="1">IF(I153&gt;0,J153*100/I153,0)</f>
        <v>0</v>
      </c>
      <c r="L153" s="46"/>
      <c r="M153" s="46"/>
      <c r="N153" s="46"/>
      <c r="O153" s="46"/>
      <c r="P153" s="46"/>
    </row>
    <row r="154" spans="1:16" ht="18.75" x14ac:dyDescent="0.25">
      <c r="A154" s="136"/>
      <c r="B154" s="41"/>
      <c r="C154" s="41"/>
      <c r="D154" s="254" t="s">
        <v>60</v>
      </c>
      <c r="E154" s="41"/>
      <c r="F154" s="41"/>
      <c r="G154" s="43"/>
      <c r="H154" s="147" t="s">
        <v>54</v>
      </c>
      <c r="I154" s="169">
        <f ca="1">IFERROR(__xludf.DUMMYFUNCTION("IMPORTRANGE(""https://docs.google.com/spreadsheets/d/1eHaY18a8A9IcSdp1K8H6x8fbOy06t2VsZHhMHf-1x7Y/edit?usp=sharing"",""แผน!Y29"")"),1)</f>
        <v>1</v>
      </c>
      <c r="J154" s="250">
        <v>0</v>
      </c>
      <c r="K154" s="47">
        <f ca="1">IF(I154&gt;0,J154*100/I154,0)</f>
        <v>0</v>
      </c>
      <c r="L154" s="46"/>
      <c r="M154" s="46"/>
      <c r="N154" s="46"/>
      <c r="O154" s="46"/>
      <c r="P154" s="46"/>
    </row>
    <row r="155" spans="1:16" ht="19.5" hidden="1" x14ac:dyDescent="0.3">
      <c r="A155" s="125" t="s">
        <v>61</v>
      </c>
      <c r="B155" s="126"/>
      <c r="C155" s="190"/>
      <c r="D155" s="126"/>
      <c r="E155" s="126"/>
      <c r="F155" s="126"/>
      <c r="G155" s="126"/>
      <c r="H155" s="126"/>
      <c r="I155" s="191"/>
      <c r="J155" s="191"/>
      <c r="K155" s="192"/>
      <c r="L155" s="130"/>
      <c r="M155" s="130"/>
      <c r="N155" s="130"/>
      <c r="O155" s="130"/>
      <c r="P155" s="130"/>
    </row>
    <row r="156" spans="1:16" ht="19.5" hidden="1" x14ac:dyDescent="0.3">
      <c r="A156" s="131"/>
      <c r="B156" s="132" t="s">
        <v>62</v>
      </c>
      <c r="C156" s="26"/>
      <c r="D156" s="26"/>
      <c r="E156" s="26"/>
      <c r="F156" s="26"/>
      <c r="G156" s="29"/>
      <c r="H156" s="198" t="s">
        <v>33</v>
      </c>
      <c r="I156" s="135">
        <f ca="1">I169</f>
        <v>0</v>
      </c>
      <c r="J156" s="135">
        <f>J169</f>
        <v>0</v>
      </c>
      <c r="K156" s="33">
        <f ca="1">IF(I156&gt;0,J156*100/I156,0)</f>
        <v>0</v>
      </c>
      <c r="L156" s="32"/>
      <c r="M156" s="32"/>
      <c r="N156" s="32"/>
      <c r="O156" s="32"/>
      <c r="P156" s="32"/>
    </row>
    <row r="157" spans="1:16" ht="19.5" hidden="1" x14ac:dyDescent="0.3">
      <c r="A157" s="136"/>
      <c r="B157" s="41"/>
      <c r="C157" s="197" t="s">
        <v>16</v>
      </c>
      <c r="D157" s="397" t="s">
        <v>17</v>
      </c>
      <c r="E157" s="41"/>
      <c r="F157" s="41"/>
      <c r="G157" s="43"/>
      <c r="H157" s="139" t="s">
        <v>12</v>
      </c>
      <c r="I157" s="45"/>
      <c r="J157" s="45"/>
      <c r="K157" s="46"/>
      <c r="L157" s="140">
        <f ca="1">L158+L159</f>
        <v>0</v>
      </c>
      <c r="M157" s="140">
        <f ca="1">M158+M159</f>
        <v>0</v>
      </c>
      <c r="N157" s="140">
        <f ca="1">N158+N159</f>
        <v>0</v>
      </c>
      <c r="O157" s="140">
        <f ca="1">IF(L157&gt;0,N157*100/L157,0)</f>
        <v>0</v>
      </c>
      <c r="P157" s="140">
        <f ca="1">IF(M157&gt;0,N157*100/M157,0)</f>
        <v>0</v>
      </c>
    </row>
    <row r="158" spans="1:16" ht="18.75" hidden="1" x14ac:dyDescent="0.25">
      <c r="A158" s="136"/>
      <c r="B158" s="41"/>
      <c r="C158" s="41"/>
      <c r="D158" s="41"/>
      <c r="E158" s="279" t="s">
        <v>18</v>
      </c>
      <c r="F158" s="41"/>
      <c r="G158" s="43"/>
      <c r="H158" s="141" t="s">
        <v>12</v>
      </c>
      <c r="I158" s="45"/>
      <c r="J158" s="45"/>
      <c r="K158" s="46"/>
      <c r="L158" s="50">
        <f>L161+L164</f>
        <v>0</v>
      </c>
      <c r="M158" s="50">
        <f>M161+M164</f>
        <v>0</v>
      </c>
      <c r="N158" s="50">
        <f>N161+N164</f>
        <v>0</v>
      </c>
      <c r="O158" s="50">
        <f>IF(L158&gt;0,N158*100/L158,0)</f>
        <v>0</v>
      </c>
      <c r="P158" s="50">
        <f>IF(M158&gt;0,N158*100/M158,0)</f>
        <v>0</v>
      </c>
    </row>
    <row r="159" spans="1:16" ht="18.75" hidden="1" x14ac:dyDescent="0.25">
      <c r="A159" s="136"/>
      <c r="B159" s="41"/>
      <c r="C159" s="41"/>
      <c r="D159" s="41"/>
      <c r="E159" s="254" t="s">
        <v>19</v>
      </c>
      <c r="F159" s="41"/>
      <c r="G159" s="43"/>
      <c r="H159" s="142" t="s">
        <v>12</v>
      </c>
      <c r="I159" s="45"/>
      <c r="J159" s="45"/>
      <c r="K159" s="46"/>
      <c r="L159" s="47">
        <f ca="1">L162+L165</f>
        <v>0</v>
      </c>
      <c r="M159" s="47">
        <f ca="1">M162+M165</f>
        <v>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</row>
    <row r="160" spans="1:16" ht="18.75" hidden="1" x14ac:dyDescent="0.25">
      <c r="A160" s="136"/>
      <c r="B160" s="41"/>
      <c r="C160" s="41"/>
      <c r="D160" s="42" t="s">
        <v>20</v>
      </c>
      <c r="E160" s="41"/>
      <c r="F160" s="41"/>
      <c r="G160" s="43"/>
      <c r="H160" s="143" t="s">
        <v>12</v>
      </c>
      <c r="I160" s="144"/>
      <c r="J160" s="144"/>
      <c r="K160" s="145"/>
      <c r="L160" s="47">
        <f ca="1">L161+L162</f>
        <v>0</v>
      </c>
      <c r="M160" s="47">
        <f ca="1">M161+M162</f>
        <v>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</row>
    <row r="161" spans="1:16" ht="18.75" hidden="1" x14ac:dyDescent="0.25">
      <c r="A161" s="136"/>
      <c r="B161" s="41"/>
      <c r="C161" s="41"/>
      <c r="D161" s="41"/>
      <c r="E161" s="279" t="s">
        <v>34</v>
      </c>
      <c r="F161" s="41"/>
      <c r="G161" s="43"/>
      <c r="H161" s="146" t="s">
        <v>12</v>
      </c>
      <c r="I161" s="144"/>
      <c r="J161" s="144"/>
      <c r="K161" s="145"/>
      <c r="L161" s="50">
        <v>0</v>
      </c>
      <c r="M161" s="50">
        <v>0</v>
      </c>
      <c r="N161" s="50">
        <v>0</v>
      </c>
      <c r="O161" s="50">
        <f>IF(L161&gt;0,N161*100/L161,0)</f>
        <v>0</v>
      </c>
      <c r="P161" s="50">
        <f>IF(M161&gt;0,N161*100/M161,0)</f>
        <v>0</v>
      </c>
    </row>
    <row r="162" spans="1:16" ht="18.75" hidden="1" x14ac:dyDescent="0.25">
      <c r="A162" s="136"/>
      <c r="B162" s="41"/>
      <c r="C162" s="41"/>
      <c r="D162" s="41"/>
      <c r="E162" s="254" t="s">
        <v>35</v>
      </c>
      <c r="F162" s="41"/>
      <c r="G162" s="43"/>
      <c r="H162" s="143" t="s">
        <v>12</v>
      </c>
      <c r="I162" s="144"/>
      <c r="J162" s="144"/>
      <c r="K162" s="145"/>
      <c r="L162" s="47">
        <f ca="1">IFERROR(__xludf.DUMMYFUNCTION("IMPORTRANGE(""https://docs.google.com/spreadsheets/d/1-uDff_7J0KD5mKrp0Vvzr7lt3OU09vwQwhkpOPPYv2Y/edit?usp=sharing"",""งบพรบ!CA29"")"),0)</f>
        <v>0</v>
      </c>
      <c r="M162" s="47">
        <f ca="1">IFERROR(__xludf.DUMMYFUNCTION("IMPORTRANGE(""https://docs.google.com/spreadsheets/d/1-uDff_7J0KD5mKrp0Vvzr7lt3OU09vwQwhkpOPPYv2Y/edit?usp=sharing"",""งบพรบ!CF29"")"),0)</f>
        <v>0</v>
      </c>
      <c r="N162" s="47">
        <f ca="1">IFERROR(__xludf.DUMMYFUNCTION("IMPORTRANGE(""https://docs.google.com/spreadsheets/d/1-uDff_7J0KD5mKrp0Vvzr7lt3OU09vwQwhkpOPPYv2Y/edit?usp=sharing"",""งบพรบ!CH29"")"),0)</f>
        <v>0</v>
      </c>
      <c r="O162" s="47">
        <f ca="1">IF(L162&gt;0,N162*100/L162,0)</f>
        <v>0</v>
      </c>
      <c r="P162" s="47">
        <f ca="1">IF(M162&gt;0,N162*100/M162,0)</f>
        <v>0</v>
      </c>
    </row>
    <row r="163" spans="1:16" ht="18.75" hidden="1" x14ac:dyDescent="0.25">
      <c r="A163" s="136"/>
      <c r="B163" s="41"/>
      <c r="C163" s="41"/>
      <c r="D163" s="42" t="s">
        <v>21</v>
      </c>
      <c r="E163" s="41"/>
      <c r="F163" s="41"/>
      <c r="G163" s="43"/>
      <c r="H163" s="147" t="s">
        <v>12</v>
      </c>
      <c r="I163" s="144"/>
      <c r="J163" s="144"/>
      <c r="K163" s="145"/>
      <c r="L163" s="47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</row>
    <row r="164" spans="1:16" ht="18.75" hidden="1" x14ac:dyDescent="0.25">
      <c r="A164" s="136"/>
      <c r="B164" s="41"/>
      <c r="C164" s="41"/>
      <c r="D164" s="41"/>
      <c r="E164" s="279" t="s">
        <v>18</v>
      </c>
      <c r="F164" s="41"/>
      <c r="G164" s="43"/>
      <c r="H164" s="146" t="s">
        <v>12</v>
      </c>
      <c r="I164" s="144"/>
      <c r="J164" s="144"/>
      <c r="K164" s="145"/>
      <c r="L164" s="50">
        <v>0</v>
      </c>
      <c r="M164" s="50">
        <v>0</v>
      </c>
      <c r="N164" s="50">
        <v>0</v>
      </c>
      <c r="O164" s="50">
        <f>IF(L164&gt;0,N164*100/L164,0)</f>
        <v>0</v>
      </c>
      <c r="P164" s="50">
        <f>IF(M164&gt;0,N164*100/M164,0)</f>
        <v>0</v>
      </c>
    </row>
    <row r="165" spans="1:16" ht="18.75" hidden="1" x14ac:dyDescent="0.25">
      <c r="A165" s="136"/>
      <c r="B165" s="41"/>
      <c r="C165" s="41"/>
      <c r="D165" s="41"/>
      <c r="E165" s="254" t="s">
        <v>19</v>
      </c>
      <c r="F165" s="41"/>
      <c r="G165" s="43"/>
      <c r="H165" s="147" t="s">
        <v>12</v>
      </c>
      <c r="I165" s="144"/>
      <c r="J165" s="144"/>
      <c r="K165" s="145"/>
      <c r="L165" s="47">
        <f ca="1">IFERROR(__xludf.DUMMYFUNCTION("IMPORTRANGE(""https://docs.google.com/spreadsheets/d/1-uDff_7J0KD5mKrp0Vvzr7lt3OU09vwQwhkpOPPYv2Y/edit?usp=sharing"",""งบพรบ!CD29"")"),0)</f>
        <v>0</v>
      </c>
      <c r="M165" s="47">
        <f ca="1">IFERROR(__xludf.DUMMYFUNCTION("IMPORTRANGE(""https://docs.google.com/spreadsheets/d/1-uDff_7J0KD5mKrp0Vvzr7lt3OU09vwQwhkpOPPYv2Y/edit?usp=sharing"",""งบพรบ!CG29"")"),0)</f>
        <v>0</v>
      </c>
      <c r="N165" s="47">
        <f ca="1">IFERROR(__xludf.DUMMYFUNCTION("IMPORTRANGE(""https://docs.google.com/spreadsheets/d/1-uDff_7J0KD5mKrp0Vvzr7lt3OU09vwQwhkpOPPYv2Y/edit?usp=sharing"",""งบพรบ!CI29"")"),0)</f>
        <v>0</v>
      </c>
      <c r="O165" s="47">
        <f ca="1">IF(L165&gt;0,N165*100/L165,0)</f>
        <v>0</v>
      </c>
      <c r="P165" s="47">
        <f ca="1">IF(M165&gt;0,N165*100/M165,0)</f>
        <v>0</v>
      </c>
    </row>
    <row r="166" spans="1:16" ht="19.5" hidden="1" x14ac:dyDescent="0.3">
      <c r="A166" s="148"/>
      <c r="B166" s="149"/>
      <c r="C166" s="197" t="s">
        <v>16</v>
      </c>
      <c r="D166" s="395" t="s">
        <v>36</v>
      </c>
      <c r="E166" s="151"/>
      <c r="F166" s="151"/>
      <c r="G166" s="152"/>
      <c r="H166" s="196"/>
      <c r="I166" s="45"/>
      <c r="J166" s="45"/>
      <c r="K166" s="46"/>
      <c r="L166" s="46"/>
      <c r="M166" s="46"/>
      <c r="N166" s="46"/>
      <c r="O166" s="46"/>
      <c r="P166" s="46"/>
    </row>
    <row r="167" spans="1:16" ht="18.75" hidden="1" x14ac:dyDescent="0.25">
      <c r="A167" s="136"/>
      <c r="B167" s="41"/>
      <c r="C167" s="41"/>
      <c r="D167" s="254" t="s">
        <v>63</v>
      </c>
      <c r="E167" s="41"/>
      <c r="F167" s="41"/>
      <c r="G167" s="43"/>
      <c r="H167" s="147" t="s">
        <v>33</v>
      </c>
      <c r="I167" s="169">
        <f ca="1">IFERROR(__xludf.DUMMYFUNCTION("IMPORTRANGE(""https://docs.google.com/spreadsheets/d/1eHaY18a8A9IcSdp1K8H6x8fbOy06t2VsZHhMHf-1x7Y/edit?usp=sharing"",""แผน!Z29"")"),0)</f>
        <v>0</v>
      </c>
      <c r="J167" s="250">
        <v>0</v>
      </c>
      <c r="K167" s="47">
        <f ca="1">IF(I167&gt;0,J167*100/I167,0)</f>
        <v>0</v>
      </c>
      <c r="L167" s="46"/>
      <c r="M167" s="46"/>
      <c r="N167" s="46"/>
      <c r="O167" s="46"/>
      <c r="P167" s="46"/>
    </row>
    <row r="168" spans="1:16" ht="18.75" hidden="1" x14ac:dyDescent="0.25">
      <c r="A168" s="136"/>
      <c r="B168" s="41"/>
      <c r="C168" s="41"/>
      <c r="D168" s="279" t="s">
        <v>64</v>
      </c>
      <c r="E168" s="41"/>
      <c r="F168" s="41"/>
      <c r="G168" s="43"/>
      <c r="H168" s="199" t="s">
        <v>33</v>
      </c>
      <c r="I168" s="200">
        <f ca="1">IFERROR(__xludf.DUMMYFUNCTION("IMPORTRANGE(""https://docs.google.com/spreadsheets/d/1eHaY18a8A9IcSdp1K8H6x8fbOy06t2VsZHhMHf-1x7Y/edit?usp=sharing"",""แผน!Z29"")"),0)</f>
        <v>0</v>
      </c>
      <c r="J168" s="201">
        <v>0</v>
      </c>
      <c r="K168" s="50">
        <f ca="1">IF(I168&gt;0,J168*100/I168,0)</f>
        <v>0</v>
      </c>
      <c r="L168" s="46"/>
      <c r="M168" s="46"/>
      <c r="N168" s="46"/>
      <c r="O168" s="46"/>
      <c r="P168" s="46"/>
    </row>
    <row r="169" spans="1:16" ht="18.75" hidden="1" x14ac:dyDescent="0.25">
      <c r="A169" s="202"/>
      <c r="B169" s="1"/>
      <c r="C169" s="1"/>
      <c r="D169" s="203" t="s">
        <v>65</v>
      </c>
      <c r="E169" s="1"/>
      <c r="F169" s="1"/>
      <c r="G169" s="54"/>
      <c r="H169" s="204" t="s">
        <v>33</v>
      </c>
      <c r="I169" s="205">
        <f ca="1">IFERROR(__xludf.DUMMYFUNCTION("IMPORTRANGE(""https://docs.google.com/spreadsheets/d/1eHaY18a8A9IcSdp1K8H6x8fbOy06t2VsZHhMHf-1x7Y/edit?usp=sharing"",""แผน!Z29"")"),0)</f>
        <v>0</v>
      </c>
      <c r="J169" s="206">
        <v>0</v>
      </c>
      <c r="K169" s="207">
        <f ca="1">IF(I169&gt;0,J169*100/I169,0)</f>
        <v>0</v>
      </c>
      <c r="L169" s="57"/>
      <c r="M169" s="57"/>
      <c r="N169" s="57"/>
      <c r="O169" s="57"/>
      <c r="P169" s="57"/>
    </row>
    <row r="170" spans="1:16" ht="19.5" x14ac:dyDescent="0.3">
      <c r="A170" s="208" t="s">
        <v>66</v>
      </c>
      <c r="B170" s="209"/>
      <c r="C170" s="209"/>
      <c r="D170" s="209"/>
      <c r="E170" s="210"/>
      <c r="F170" s="210"/>
      <c r="G170" s="210"/>
      <c r="H170" s="210"/>
      <c r="I170" s="211"/>
      <c r="J170" s="211"/>
      <c r="K170" s="212"/>
      <c r="L170" s="212"/>
      <c r="M170" s="212"/>
      <c r="N170" s="212"/>
      <c r="O170" s="212"/>
      <c r="P170" s="213"/>
    </row>
    <row r="171" spans="1:16" ht="19.5" x14ac:dyDescent="0.3">
      <c r="A171" s="214" t="s">
        <v>67</v>
      </c>
      <c r="B171" s="215"/>
      <c r="C171" s="215"/>
      <c r="D171" s="216"/>
      <c r="E171" s="216"/>
      <c r="F171" s="216"/>
      <c r="G171" s="216"/>
      <c r="H171" s="217"/>
      <c r="I171" s="218"/>
      <c r="J171" s="218"/>
      <c r="K171" s="219"/>
      <c r="L171" s="219"/>
      <c r="M171" s="219"/>
      <c r="N171" s="219"/>
      <c r="O171" s="219"/>
      <c r="P171" s="219"/>
    </row>
    <row r="172" spans="1:16" ht="19.5" x14ac:dyDescent="0.3">
      <c r="A172" s="220"/>
      <c r="B172" s="221" t="s">
        <v>68</v>
      </c>
      <c r="C172" s="222"/>
      <c r="D172" s="151"/>
      <c r="E172" s="151"/>
      <c r="F172" s="151"/>
      <c r="G172" s="152"/>
      <c r="H172" s="223" t="s">
        <v>33</v>
      </c>
      <c r="I172" s="224">
        <f ca="1">I183+I184</f>
        <v>7</v>
      </c>
      <c r="J172" s="224">
        <f>J183+J184</f>
        <v>0</v>
      </c>
      <c r="K172" s="225">
        <f ca="1">IF(I172&gt;0,J172*100/I172,0)</f>
        <v>0</v>
      </c>
      <c r="L172" s="226"/>
      <c r="M172" s="226"/>
      <c r="N172" s="226"/>
      <c r="O172" s="226"/>
      <c r="P172" s="226"/>
    </row>
    <row r="173" spans="1:16" ht="19.5" x14ac:dyDescent="0.3">
      <c r="A173" s="136"/>
      <c r="B173" s="41"/>
      <c r="C173" s="197" t="s">
        <v>16</v>
      </c>
      <c r="D173" s="397" t="s">
        <v>17</v>
      </c>
      <c r="E173" s="41"/>
      <c r="F173" s="41"/>
      <c r="G173" s="43"/>
      <c r="H173" s="139" t="s">
        <v>12</v>
      </c>
      <c r="I173" s="45"/>
      <c r="J173" s="45"/>
      <c r="K173" s="46"/>
      <c r="L173" s="140">
        <f ca="1">L174+L175</f>
        <v>19590</v>
      </c>
      <c r="M173" s="140">
        <f ca="1">M174+M175</f>
        <v>19590</v>
      </c>
      <c r="N173" s="140">
        <f ca="1">N174+N175</f>
        <v>0</v>
      </c>
      <c r="O173" s="140">
        <f ca="1">IF(L173&gt;0,N173*100/L173,0)</f>
        <v>0</v>
      </c>
      <c r="P173" s="140">
        <f ca="1">IF(M173&gt;0,N173*100/M173,0)</f>
        <v>0</v>
      </c>
    </row>
    <row r="174" spans="1:16" ht="18.75" hidden="1" x14ac:dyDescent="0.25">
      <c r="A174" s="136"/>
      <c r="B174" s="41"/>
      <c r="C174" s="41"/>
      <c r="D174" s="41"/>
      <c r="E174" s="279" t="s">
        <v>18</v>
      </c>
      <c r="F174" s="41"/>
      <c r="G174" s="43"/>
      <c r="H174" s="141" t="s">
        <v>12</v>
      </c>
      <c r="I174" s="45"/>
      <c r="J174" s="45"/>
      <c r="K174" s="46"/>
      <c r="L174" s="50">
        <f>L177+L180</f>
        <v>0</v>
      </c>
      <c r="M174" s="50">
        <f>M177+M180</f>
        <v>0</v>
      </c>
      <c r="N174" s="50">
        <f>N177+N180</f>
        <v>0</v>
      </c>
      <c r="O174" s="50">
        <f>IF(L174&gt;0,N174*100/L174,0)</f>
        <v>0</v>
      </c>
      <c r="P174" s="50">
        <f>IF(M174&gt;0,N174*100/M174,0)</f>
        <v>0</v>
      </c>
    </row>
    <row r="175" spans="1:16" ht="18.75" x14ac:dyDescent="0.25">
      <c r="A175" s="136"/>
      <c r="B175" s="41"/>
      <c r="C175" s="41"/>
      <c r="D175" s="41"/>
      <c r="E175" s="254" t="s">
        <v>19</v>
      </c>
      <c r="F175" s="41"/>
      <c r="G175" s="43"/>
      <c r="H175" s="142" t="s">
        <v>12</v>
      </c>
      <c r="I175" s="45"/>
      <c r="J175" s="45"/>
      <c r="K175" s="46"/>
      <c r="L175" s="47">
        <f ca="1">L178+L181</f>
        <v>19590</v>
      </c>
      <c r="M175" s="47">
        <f ca="1">M178+M181</f>
        <v>19590</v>
      </c>
      <c r="N175" s="47">
        <f ca="1">N178+N181</f>
        <v>0</v>
      </c>
      <c r="O175" s="47">
        <f ca="1">IF(L175&gt;0,N175*100/L175,0)</f>
        <v>0</v>
      </c>
      <c r="P175" s="47">
        <f ca="1">IF(M175&gt;0,N175*100/M175,0)</f>
        <v>0</v>
      </c>
    </row>
    <row r="176" spans="1:16" ht="18.75" x14ac:dyDescent="0.25">
      <c r="A176" s="136"/>
      <c r="B176" s="41"/>
      <c r="C176" s="41"/>
      <c r="D176" s="42" t="s">
        <v>20</v>
      </c>
      <c r="E176" s="41"/>
      <c r="F176" s="41"/>
      <c r="G176" s="43"/>
      <c r="H176" s="143" t="s">
        <v>12</v>
      </c>
      <c r="I176" s="144"/>
      <c r="J176" s="144"/>
      <c r="K176" s="145"/>
      <c r="L176" s="47">
        <f ca="1">L177+L178</f>
        <v>19590</v>
      </c>
      <c r="M176" s="47">
        <f ca="1">M177+M178</f>
        <v>19590</v>
      </c>
      <c r="N176" s="47">
        <f ca="1">N177+N178</f>
        <v>0</v>
      </c>
      <c r="O176" s="47">
        <f ca="1">IF(L176&gt;0,N176*100/L176,0)</f>
        <v>0</v>
      </c>
      <c r="P176" s="47">
        <f ca="1">IF(M176&gt;0,N176*100/M176,0)</f>
        <v>0</v>
      </c>
    </row>
    <row r="177" spans="1:16" ht="18.75" hidden="1" x14ac:dyDescent="0.25">
      <c r="A177" s="136"/>
      <c r="B177" s="41"/>
      <c r="C177" s="41"/>
      <c r="D177" s="41"/>
      <c r="E177" s="279" t="s">
        <v>34</v>
      </c>
      <c r="F177" s="41"/>
      <c r="G177" s="43"/>
      <c r="H177" s="146" t="s">
        <v>12</v>
      </c>
      <c r="I177" s="144"/>
      <c r="J177" s="144"/>
      <c r="K177" s="145"/>
      <c r="L177" s="50">
        <v>0</v>
      </c>
      <c r="M177" s="50">
        <v>0</v>
      </c>
      <c r="N177" s="50">
        <v>0</v>
      </c>
      <c r="O177" s="50">
        <f>IF(L177&gt;0,N177*100/L177,0)</f>
        <v>0</v>
      </c>
      <c r="P177" s="50">
        <f>IF(M177&gt;0,N177*100/M177,0)</f>
        <v>0</v>
      </c>
    </row>
    <row r="178" spans="1:16" ht="18.75" x14ac:dyDescent="0.25">
      <c r="A178" s="136"/>
      <c r="B178" s="41"/>
      <c r="C178" s="41"/>
      <c r="D178" s="41"/>
      <c r="E178" s="254" t="s">
        <v>35</v>
      </c>
      <c r="F178" s="41"/>
      <c r="G178" s="43"/>
      <c r="H178" s="143" t="s">
        <v>12</v>
      </c>
      <c r="I178" s="144"/>
      <c r="J178" s="144"/>
      <c r="K178" s="145"/>
      <c r="L178" s="47">
        <f ca="1">IFERROR(__xludf.DUMMYFUNCTION("IMPORTRANGE(""https://docs.google.com/spreadsheets/d/1-uDff_7J0KD5mKrp0Vvzr7lt3OU09vwQwhkpOPPYv2Y/edit?usp=sharing"",""งบพรบ!CK29"")"),19590)</f>
        <v>19590</v>
      </c>
      <c r="M178" s="47">
        <f ca="1">IFERROR(__xludf.DUMMYFUNCTION("IMPORTRANGE(""https://docs.google.com/spreadsheets/d/1-uDff_7J0KD5mKrp0Vvzr7lt3OU09vwQwhkpOPPYv2Y/edit?usp=sharing"",""งบพรบ!CP29"")"),19590)</f>
        <v>19590</v>
      </c>
      <c r="N178" s="47">
        <f ca="1">IFERROR(__xludf.DUMMYFUNCTION("IMPORTRANGE(""https://docs.google.com/spreadsheets/d/1-uDff_7J0KD5mKrp0Vvzr7lt3OU09vwQwhkpOPPYv2Y/edit?usp=sharing"",""งบพรบ!CR29"")"),0)</f>
        <v>0</v>
      </c>
      <c r="O178" s="47">
        <f ca="1">IF(L178&gt;0,N178*100/L178,0)</f>
        <v>0</v>
      </c>
      <c r="P178" s="47">
        <f ca="1">IF(M178&gt;0,N178*100/M178,0)</f>
        <v>0</v>
      </c>
    </row>
    <row r="179" spans="1:16" ht="18.75" x14ac:dyDescent="0.25">
      <c r="A179" s="136"/>
      <c r="B179" s="41"/>
      <c r="C179" s="41"/>
      <c r="D179" s="42" t="s">
        <v>21</v>
      </c>
      <c r="E179" s="41"/>
      <c r="F179" s="41"/>
      <c r="G179" s="43"/>
      <c r="H179" s="147" t="s">
        <v>12</v>
      </c>
      <c r="I179" s="144"/>
      <c r="J179" s="144"/>
      <c r="K179" s="145"/>
      <c r="L179" s="47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</row>
    <row r="180" spans="1:16" ht="18.75" hidden="1" x14ac:dyDescent="0.25">
      <c r="A180" s="136"/>
      <c r="B180" s="41"/>
      <c r="C180" s="41"/>
      <c r="D180" s="41"/>
      <c r="E180" s="279" t="s">
        <v>18</v>
      </c>
      <c r="F180" s="41"/>
      <c r="G180" s="43"/>
      <c r="H180" s="146" t="s">
        <v>12</v>
      </c>
      <c r="I180" s="144"/>
      <c r="J180" s="144"/>
      <c r="K180" s="145"/>
      <c r="L180" s="50">
        <v>0</v>
      </c>
      <c r="M180" s="50">
        <v>0</v>
      </c>
      <c r="N180" s="50">
        <v>0</v>
      </c>
      <c r="O180" s="50">
        <f>IF(L180&gt;0,N180*100/L180,0)</f>
        <v>0</v>
      </c>
      <c r="P180" s="50">
        <f>IF(M180&gt;0,N180*100/M180,0)</f>
        <v>0</v>
      </c>
    </row>
    <row r="181" spans="1:16" ht="18.75" x14ac:dyDescent="0.25">
      <c r="A181" s="136"/>
      <c r="B181" s="41"/>
      <c r="C181" s="41"/>
      <c r="D181" s="41"/>
      <c r="E181" s="254" t="s">
        <v>19</v>
      </c>
      <c r="F181" s="41"/>
      <c r="G181" s="43"/>
      <c r="H181" s="147" t="s">
        <v>12</v>
      </c>
      <c r="I181" s="144"/>
      <c r="J181" s="144"/>
      <c r="K181" s="145"/>
      <c r="L181" s="47">
        <f ca="1">IFERROR(__xludf.DUMMYFUNCTION("IMPORTRANGE(""https://docs.google.com/spreadsheets/d/1-uDff_7J0KD5mKrp0Vvzr7lt3OU09vwQwhkpOPPYv2Y/edit?usp=sharing"",""งบพรบ!CN29"")"),0)</f>
        <v>0</v>
      </c>
      <c r="M181" s="47">
        <f ca="1">IFERROR(__xludf.DUMMYFUNCTION("IMPORTRANGE(""https://docs.google.com/spreadsheets/d/1-uDff_7J0KD5mKrp0Vvzr7lt3OU09vwQwhkpOPPYv2Y/edit?usp=sharing"",""งบพรบ!CQ29"")"),0)</f>
        <v>0</v>
      </c>
      <c r="N181" s="47">
        <f ca="1">IFERROR(__xludf.DUMMYFUNCTION("IMPORTRANGE(""https://docs.google.com/spreadsheets/d/1-uDff_7J0KD5mKrp0Vvzr7lt3OU09vwQwhkpOPPYv2Y/edit?usp=sharing"",""งบพรบ!CS29"")"),0)</f>
        <v>0</v>
      </c>
      <c r="O181" s="47">
        <f ca="1">IF(L181&gt;0,N181*100/L181,0)</f>
        <v>0</v>
      </c>
      <c r="P181" s="47">
        <f ca="1">IF(M181&gt;0,N181*100/M181,0)</f>
        <v>0</v>
      </c>
    </row>
    <row r="182" spans="1:16" ht="19.5" x14ac:dyDescent="0.3">
      <c r="A182" s="148"/>
      <c r="B182" s="149"/>
      <c r="C182" s="197" t="s">
        <v>16</v>
      </c>
      <c r="D182" s="395" t="s">
        <v>36</v>
      </c>
      <c r="E182" s="151"/>
      <c r="F182" s="151"/>
      <c r="G182" s="152"/>
      <c r="H182" s="196"/>
      <c r="I182" s="45"/>
      <c r="J182" s="45"/>
      <c r="K182" s="46"/>
      <c r="L182" s="46"/>
      <c r="M182" s="46"/>
      <c r="N182" s="46"/>
      <c r="O182" s="46"/>
      <c r="P182" s="46"/>
    </row>
    <row r="183" spans="1:16" ht="18.75" x14ac:dyDescent="0.25">
      <c r="A183" s="227"/>
      <c r="B183" s="41"/>
      <c r="C183" s="228"/>
      <c r="D183" s="229" t="s">
        <v>69</v>
      </c>
      <c r="E183" s="41"/>
      <c r="F183" s="41"/>
      <c r="G183" s="43"/>
      <c r="H183" s="230" t="s">
        <v>33</v>
      </c>
      <c r="I183" s="169">
        <f ca="1">IFERROR(__xludf.DUMMYFUNCTION("IMPORTRANGE(""https://docs.google.com/spreadsheets/d/1eHaY18a8A9IcSdp1K8H6x8fbOy06t2VsZHhMHf-1x7Y/edit?usp=sharing"",""แผน!AA29"")"),7)</f>
        <v>7</v>
      </c>
      <c r="J183" s="250">
        <v>0</v>
      </c>
      <c r="K183" s="47">
        <f ca="1">IF(I183&gt;0,J183*100/I183,0)</f>
        <v>0</v>
      </c>
      <c r="L183" s="46"/>
      <c r="M183" s="46"/>
      <c r="N183" s="46"/>
      <c r="O183" s="46"/>
      <c r="P183" s="46"/>
    </row>
    <row r="184" spans="1:16" ht="18.75" hidden="1" x14ac:dyDescent="0.25">
      <c r="A184" s="227"/>
      <c r="B184" s="228"/>
      <c r="C184" s="228"/>
      <c r="D184" s="231" t="s">
        <v>70</v>
      </c>
      <c r="E184" s="41"/>
      <c r="F184" s="41"/>
      <c r="G184" s="43"/>
      <c r="H184" s="232" t="s">
        <v>33</v>
      </c>
      <c r="I184" s="200">
        <v>0</v>
      </c>
      <c r="J184" s="200">
        <v>0</v>
      </c>
      <c r="K184" s="50">
        <f>IF(I184&gt;0,J184*100/I184,0)</f>
        <v>0</v>
      </c>
      <c r="L184" s="46"/>
      <c r="M184" s="46"/>
      <c r="N184" s="46"/>
      <c r="O184" s="46"/>
      <c r="P184" s="46"/>
    </row>
    <row r="185" spans="1:16" ht="19.5" x14ac:dyDescent="0.3">
      <c r="A185" s="220"/>
      <c r="B185" s="221" t="s">
        <v>71</v>
      </c>
      <c r="C185" s="222"/>
      <c r="D185" s="151"/>
      <c r="E185" s="151"/>
      <c r="F185" s="151"/>
      <c r="G185" s="152"/>
      <c r="H185" s="223" t="s">
        <v>33</v>
      </c>
      <c r="I185" s="224">
        <f ca="1">I230+I231</f>
        <v>0</v>
      </c>
      <c r="J185" s="224">
        <f>J230+J231</f>
        <v>0</v>
      </c>
      <c r="K185" s="225">
        <f ca="1">IF(I185&gt;0,J185*100/I185,0)</f>
        <v>0</v>
      </c>
      <c r="L185" s="226"/>
      <c r="M185" s="226"/>
      <c r="N185" s="226"/>
      <c r="O185" s="226"/>
      <c r="P185" s="226"/>
    </row>
    <row r="186" spans="1:16" ht="19.5" x14ac:dyDescent="0.3">
      <c r="A186" s="136"/>
      <c r="B186" s="41"/>
      <c r="C186" s="197" t="s">
        <v>16</v>
      </c>
      <c r="D186" s="397" t="s">
        <v>17</v>
      </c>
      <c r="E186" s="41"/>
      <c r="F186" s="41"/>
      <c r="G186" s="43"/>
      <c r="H186" s="139" t="s">
        <v>12</v>
      </c>
      <c r="I186" s="45"/>
      <c r="J186" s="45"/>
      <c r="K186" s="46"/>
      <c r="L186" s="140">
        <f ca="1">L187+L188</f>
        <v>161500</v>
      </c>
      <c r="M186" s="140">
        <f ca="1">M187+M188</f>
        <v>105500</v>
      </c>
      <c r="N186" s="140">
        <f ca="1">N187+N188</f>
        <v>12566</v>
      </c>
      <c r="O186" s="140">
        <f ca="1">IF(L186&gt;0,N186*100/L186,0)</f>
        <v>7.7808049535603718</v>
      </c>
      <c r="P186" s="140">
        <f ca="1">IF(M186&gt;0,N186*100/M186,0)</f>
        <v>11.910900473933649</v>
      </c>
    </row>
    <row r="187" spans="1:16" ht="18.75" hidden="1" x14ac:dyDescent="0.25">
      <c r="A187" s="136"/>
      <c r="B187" s="41"/>
      <c r="C187" s="41"/>
      <c r="D187" s="41"/>
      <c r="E187" s="279" t="s">
        <v>18</v>
      </c>
      <c r="F187" s="41"/>
      <c r="G187" s="43"/>
      <c r="H187" s="141" t="s">
        <v>12</v>
      </c>
      <c r="I187" s="45"/>
      <c r="J187" s="45"/>
      <c r="K187" s="46"/>
      <c r="L187" s="50">
        <f>L190+L193</f>
        <v>0</v>
      </c>
      <c r="M187" s="50">
        <f>M190+M193</f>
        <v>0</v>
      </c>
      <c r="N187" s="50">
        <f>N190+N193</f>
        <v>0</v>
      </c>
      <c r="O187" s="50">
        <f>IF(L187&gt;0,N187*100/L187,0)</f>
        <v>0</v>
      </c>
      <c r="P187" s="50">
        <f>IF(M187&gt;0,N187*100/M187,0)</f>
        <v>0</v>
      </c>
    </row>
    <row r="188" spans="1:16" ht="18.75" x14ac:dyDescent="0.25">
      <c r="A188" s="136"/>
      <c r="B188" s="41"/>
      <c r="C188" s="41"/>
      <c r="D188" s="41"/>
      <c r="E188" s="254" t="s">
        <v>19</v>
      </c>
      <c r="F188" s="41"/>
      <c r="G188" s="43"/>
      <c r="H188" s="142" t="s">
        <v>12</v>
      </c>
      <c r="I188" s="45"/>
      <c r="J188" s="45"/>
      <c r="K188" s="46"/>
      <c r="L188" s="47">
        <f ca="1">L191+L194</f>
        <v>161500</v>
      </c>
      <c r="M188" s="47">
        <f ca="1">M191+M194</f>
        <v>105500</v>
      </c>
      <c r="N188" s="47">
        <f ca="1">N191+N194</f>
        <v>12566</v>
      </c>
      <c r="O188" s="47">
        <f ca="1">IF(L188&gt;0,N188*100/L188,0)</f>
        <v>7.7808049535603718</v>
      </c>
      <c r="P188" s="47">
        <f ca="1">IF(M188&gt;0,N188*100/M188,0)</f>
        <v>11.910900473933649</v>
      </c>
    </row>
    <row r="189" spans="1:16" ht="18.75" x14ac:dyDescent="0.25">
      <c r="A189" s="136"/>
      <c r="B189" s="41"/>
      <c r="C189" s="41"/>
      <c r="D189" s="42" t="s">
        <v>20</v>
      </c>
      <c r="E189" s="41"/>
      <c r="F189" s="41"/>
      <c r="G189" s="43"/>
      <c r="H189" s="143" t="s">
        <v>12</v>
      </c>
      <c r="I189" s="144"/>
      <c r="J189" s="144"/>
      <c r="K189" s="145"/>
      <c r="L189" s="47">
        <f ca="1">L190+L191</f>
        <v>161500</v>
      </c>
      <c r="M189" s="47">
        <f ca="1">M190+M191</f>
        <v>105500</v>
      </c>
      <c r="N189" s="47">
        <f ca="1">N190+N191</f>
        <v>12566</v>
      </c>
      <c r="O189" s="47">
        <f ca="1">IF(L189&gt;0,N189*100/L189,0)</f>
        <v>7.7808049535603718</v>
      </c>
      <c r="P189" s="47">
        <f ca="1">IF(M189&gt;0,N189*100/M189,0)</f>
        <v>11.910900473933649</v>
      </c>
    </row>
    <row r="190" spans="1:16" ht="18.75" hidden="1" x14ac:dyDescent="0.25">
      <c r="A190" s="136"/>
      <c r="B190" s="41"/>
      <c r="C190" s="41"/>
      <c r="D190" s="41"/>
      <c r="E190" s="279" t="s">
        <v>34</v>
      </c>
      <c r="F190" s="41"/>
      <c r="G190" s="43"/>
      <c r="H190" s="146" t="s">
        <v>12</v>
      </c>
      <c r="I190" s="144"/>
      <c r="J190" s="144"/>
      <c r="K190" s="145"/>
      <c r="L190" s="50">
        <v>0</v>
      </c>
      <c r="M190" s="50">
        <v>0</v>
      </c>
      <c r="N190" s="50">
        <v>0</v>
      </c>
      <c r="O190" s="50">
        <f>IF(L190&gt;0,N190*100/L190,0)</f>
        <v>0</v>
      </c>
      <c r="P190" s="50">
        <f>IF(M190&gt;0,N190*100/M190,0)</f>
        <v>0</v>
      </c>
    </row>
    <row r="191" spans="1:16" ht="18.75" x14ac:dyDescent="0.25">
      <c r="A191" s="136"/>
      <c r="B191" s="41"/>
      <c r="C191" s="41"/>
      <c r="D191" s="41"/>
      <c r="E191" s="254" t="s">
        <v>35</v>
      </c>
      <c r="F191" s="41"/>
      <c r="G191" s="43"/>
      <c r="H191" s="143" t="s">
        <v>12</v>
      </c>
      <c r="I191" s="144"/>
      <c r="J191" s="144"/>
      <c r="K191" s="145"/>
      <c r="L191" s="47">
        <f ca="1">IFERROR(__xludf.DUMMYFUNCTION("IMPORTRANGE(""https://docs.google.com/spreadsheets/d/1-uDff_7J0KD5mKrp0Vvzr7lt3OU09vwQwhkpOPPYv2Y/edit?usp=sharing"",""งบพรบ!CU29"")"),161500)</f>
        <v>161500</v>
      </c>
      <c r="M191" s="47">
        <f ca="1">IFERROR(__xludf.DUMMYFUNCTION("IMPORTRANGE(""https://docs.google.com/spreadsheets/d/1-uDff_7J0KD5mKrp0Vvzr7lt3OU09vwQwhkpOPPYv2Y/edit?usp=sharing"",""งบพรบ!CZ29"")"),105500)</f>
        <v>105500</v>
      </c>
      <c r="N191" s="47">
        <f ca="1">IFERROR(__xludf.DUMMYFUNCTION("IMPORTRANGE(""https://docs.google.com/spreadsheets/d/1-uDff_7J0KD5mKrp0Vvzr7lt3OU09vwQwhkpOPPYv2Y/edit?usp=sharing"",""งบพรบ!DB29"")"),12566)</f>
        <v>12566</v>
      </c>
      <c r="O191" s="47">
        <f ca="1">IF(L191&gt;0,N191*100/L191,0)</f>
        <v>7.7808049535603718</v>
      </c>
      <c r="P191" s="47">
        <f ca="1">IF(M191&gt;0,N191*100/M191,0)</f>
        <v>11.910900473933649</v>
      </c>
    </row>
    <row r="192" spans="1:16" ht="18.75" x14ac:dyDescent="0.25">
      <c r="A192" s="136"/>
      <c r="B192" s="41"/>
      <c r="C192" s="41"/>
      <c r="D192" s="42" t="s">
        <v>21</v>
      </c>
      <c r="E192" s="41"/>
      <c r="F192" s="41"/>
      <c r="G192" s="43"/>
      <c r="H192" s="147" t="s">
        <v>12</v>
      </c>
      <c r="I192" s="144"/>
      <c r="J192" s="144"/>
      <c r="K192" s="145"/>
      <c r="L192" s="47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</row>
    <row r="193" spans="1:16" ht="18.75" hidden="1" x14ac:dyDescent="0.25">
      <c r="A193" s="136"/>
      <c r="B193" s="41"/>
      <c r="C193" s="41"/>
      <c r="D193" s="41"/>
      <c r="E193" s="279" t="s">
        <v>18</v>
      </c>
      <c r="F193" s="41"/>
      <c r="G193" s="43"/>
      <c r="H193" s="146" t="s">
        <v>12</v>
      </c>
      <c r="I193" s="144"/>
      <c r="J193" s="144"/>
      <c r="K193" s="145"/>
      <c r="L193" s="50">
        <v>0</v>
      </c>
      <c r="M193" s="50">
        <v>0</v>
      </c>
      <c r="N193" s="50">
        <v>0</v>
      </c>
      <c r="O193" s="50">
        <f>IF(L193&gt;0,N193*100/L193,0)</f>
        <v>0</v>
      </c>
      <c r="P193" s="50">
        <f>IF(M193&gt;0,N193*100/M193,0)</f>
        <v>0</v>
      </c>
    </row>
    <row r="194" spans="1:16" ht="18.75" x14ac:dyDescent="0.25">
      <c r="A194" s="136"/>
      <c r="B194" s="41"/>
      <c r="C194" s="41"/>
      <c r="D194" s="41"/>
      <c r="E194" s="254" t="s">
        <v>19</v>
      </c>
      <c r="F194" s="41"/>
      <c r="G194" s="43"/>
      <c r="H194" s="147" t="s">
        <v>12</v>
      </c>
      <c r="I194" s="144"/>
      <c r="J194" s="144"/>
      <c r="K194" s="145"/>
      <c r="L194" s="47">
        <f ca="1">IFERROR(__xludf.DUMMYFUNCTION("IMPORTRANGE(""https://docs.google.com/spreadsheets/d/1-uDff_7J0KD5mKrp0Vvzr7lt3OU09vwQwhkpOPPYv2Y/edit?usp=sharing"",""งบพรบ!CX29"")"),0)</f>
        <v>0</v>
      </c>
      <c r="M194" s="47">
        <f ca="1">IFERROR(__xludf.DUMMYFUNCTION("IMPORTRANGE(""https://docs.google.com/spreadsheets/d/1-uDff_7J0KD5mKrp0Vvzr7lt3OU09vwQwhkpOPPYv2Y/edit?usp=sharing"",""งบพรบ!DA29"")"),0)</f>
        <v>0</v>
      </c>
      <c r="N194" s="47">
        <f ca="1">IFERROR(__xludf.DUMMYFUNCTION("IMPORTRANGE(""https://docs.google.com/spreadsheets/d/1-uDff_7J0KD5mKrp0Vvzr7lt3OU09vwQwhkpOPPYv2Y/edit?usp=sharing"",""งบพรบ!DC29"")"),0)</f>
        <v>0</v>
      </c>
      <c r="O194" s="47">
        <f ca="1">IF(L194&gt;0,N194*100/L194,0)</f>
        <v>0</v>
      </c>
      <c r="P194" s="47">
        <f ca="1">IF(M194&gt;0,N194*100/M194,0)</f>
        <v>0</v>
      </c>
    </row>
    <row r="195" spans="1:16" ht="19.5" x14ac:dyDescent="0.3">
      <c r="A195" s="233"/>
      <c r="B195" s="234"/>
      <c r="C195" s="235" t="s">
        <v>72</v>
      </c>
      <c r="D195" s="236"/>
      <c r="E195" s="236"/>
      <c r="F195" s="236"/>
      <c r="G195" s="237"/>
      <c r="H195" s="238" t="s">
        <v>73</v>
      </c>
      <c r="I195" s="239">
        <f ca="1">I198</f>
        <v>4</v>
      </c>
      <c r="J195" s="239">
        <f>J198</f>
        <v>0</v>
      </c>
      <c r="K195" s="240">
        <f ca="1">IF(I195&gt;0,J195*100/I195,0)</f>
        <v>0</v>
      </c>
      <c r="L195" s="241"/>
      <c r="M195" s="241"/>
      <c r="N195" s="241"/>
      <c r="O195" s="241"/>
      <c r="P195" s="241"/>
    </row>
    <row r="196" spans="1:16" ht="19.5" x14ac:dyDescent="0.3">
      <c r="A196" s="136"/>
      <c r="B196" s="41"/>
      <c r="C196" s="197" t="s">
        <v>16</v>
      </c>
      <c r="D196" s="400" t="s">
        <v>17</v>
      </c>
      <c r="E196" s="41"/>
      <c r="F196" s="41"/>
      <c r="G196" s="43"/>
      <c r="H196" s="243" t="s">
        <v>12</v>
      </c>
      <c r="I196" s="45"/>
      <c r="J196" s="45"/>
      <c r="K196" s="46"/>
      <c r="L196" s="140">
        <f ca="1">IFERROR(__xludf.DUMMYFUNCTION("IMPORTRANGE(""https://docs.google.com/spreadsheets/d/1eHaY18a8A9IcSdp1K8H6x8fbOy06t2VsZHhMHf-1x7Y/edit?usp=sharing"",""แผน!AB29"")"),6000)</f>
        <v>6000</v>
      </c>
      <c r="M196" s="46"/>
      <c r="N196" s="244">
        <v>0</v>
      </c>
      <c r="O196" s="140">
        <f ca="1">IF(L196&gt;0,N196*100/L196,0)</f>
        <v>0</v>
      </c>
      <c r="P196" s="140">
        <f>IF(M196&gt;0,N196*100/M196,0)</f>
        <v>0</v>
      </c>
    </row>
    <row r="197" spans="1:16" ht="19.5" x14ac:dyDescent="0.3">
      <c r="A197" s="148"/>
      <c r="B197" s="149"/>
      <c r="C197" s="197" t="s">
        <v>16</v>
      </c>
      <c r="D197" s="395" t="s">
        <v>36</v>
      </c>
      <c r="E197" s="151"/>
      <c r="F197" s="151"/>
      <c r="G197" s="152"/>
      <c r="H197" s="153"/>
      <c r="I197" s="45"/>
      <c r="J197" s="45"/>
      <c r="K197" s="46"/>
      <c r="L197" s="46"/>
      <c r="M197" s="46"/>
      <c r="N197" s="46"/>
      <c r="O197" s="46"/>
      <c r="P197" s="46"/>
    </row>
    <row r="198" spans="1:16" ht="18.75" x14ac:dyDescent="0.25">
      <c r="A198" s="148"/>
      <c r="B198" s="149"/>
      <c r="C198" s="149"/>
      <c r="D198" s="159" t="s">
        <v>74</v>
      </c>
      <c r="E198" s="155"/>
      <c r="F198" s="155"/>
      <c r="G198" s="153"/>
      <c r="H198" s="251" t="s">
        <v>73</v>
      </c>
      <c r="I198" s="169">
        <f ca="1">IFERROR(__xludf.DUMMYFUNCTION("IMPORTRANGE(""https://docs.google.com/spreadsheets/d/1eHaY18a8A9IcSdp1K8H6x8fbOy06t2VsZHhMHf-1x7Y/edit?usp=sharing"",""แผน!AE29"")"),4)</f>
        <v>4</v>
      </c>
      <c r="J198" s="250">
        <v>0</v>
      </c>
      <c r="K198" s="47">
        <f ca="1">IF(I198&gt;0,J198*100/I198,0)</f>
        <v>0</v>
      </c>
      <c r="L198" s="46"/>
      <c r="M198" s="46"/>
      <c r="N198" s="46"/>
      <c r="O198" s="46"/>
      <c r="P198" s="46"/>
    </row>
    <row r="199" spans="1:16" ht="18.75" x14ac:dyDescent="0.25">
      <c r="A199" s="148"/>
      <c r="B199" s="149"/>
      <c r="C199" s="149"/>
      <c r="D199" s="159" t="s">
        <v>75</v>
      </c>
      <c r="E199" s="155"/>
      <c r="F199" s="155"/>
      <c r="G199" s="153"/>
      <c r="H199" s="230" t="s">
        <v>33</v>
      </c>
      <c r="I199" s="45"/>
      <c r="J199" s="169">
        <f>J200+J201</f>
        <v>0</v>
      </c>
      <c r="K199" s="46"/>
      <c r="L199" s="46"/>
      <c r="M199" s="46"/>
      <c r="N199" s="46"/>
      <c r="O199" s="46"/>
      <c r="P199" s="46"/>
    </row>
    <row r="200" spans="1:16" ht="18.75" x14ac:dyDescent="0.25">
      <c r="A200" s="148"/>
      <c r="B200" s="149"/>
      <c r="C200" s="149"/>
      <c r="D200" s="149"/>
      <c r="E200" s="159" t="s">
        <v>76</v>
      </c>
      <c r="F200" s="155"/>
      <c r="G200" s="153"/>
      <c r="H200" s="230" t="s">
        <v>33</v>
      </c>
      <c r="I200" s="45"/>
      <c r="J200" s="250">
        <v>0</v>
      </c>
      <c r="K200" s="46"/>
      <c r="L200" s="46"/>
      <c r="M200" s="46"/>
      <c r="N200" s="46"/>
      <c r="O200" s="46"/>
      <c r="P200" s="46"/>
    </row>
    <row r="201" spans="1:16" ht="18.75" x14ac:dyDescent="0.25">
      <c r="A201" s="148"/>
      <c r="B201" s="149"/>
      <c r="C201" s="149"/>
      <c r="D201" s="149"/>
      <c r="E201" s="159" t="s">
        <v>77</v>
      </c>
      <c r="F201" s="155"/>
      <c r="G201" s="153"/>
      <c r="H201" s="230" t="s">
        <v>33</v>
      </c>
      <c r="I201" s="45"/>
      <c r="J201" s="250">
        <v>0</v>
      </c>
      <c r="K201" s="46"/>
      <c r="L201" s="46"/>
      <c r="M201" s="46"/>
      <c r="N201" s="46"/>
      <c r="O201" s="46"/>
      <c r="P201" s="46"/>
    </row>
    <row r="202" spans="1:16" ht="19.5" x14ac:dyDescent="0.3">
      <c r="A202" s="233"/>
      <c r="B202" s="234"/>
      <c r="C202" s="235" t="s">
        <v>78</v>
      </c>
      <c r="D202" s="236"/>
      <c r="E202" s="236"/>
      <c r="F202" s="236"/>
      <c r="G202" s="237"/>
      <c r="H202" s="245" t="s">
        <v>79</v>
      </c>
      <c r="I202" s="239">
        <f ca="1">I209</f>
        <v>3</v>
      </c>
      <c r="J202" s="239">
        <f>J209</f>
        <v>0</v>
      </c>
      <c r="K202" s="240">
        <f ca="1">IF(I202&gt;0,J202*100/I202,0)</f>
        <v>0</v>
      </c>
      <c r="L202" s="241"/>
      <c r="M202" s="241"/>
      <c r="N202" s="241"/>
      <c r="O202" s="241"/>
      <c r="P202" s="241"/>
    </row>
    <row r="203" spans="1:16" ht="19.5" x14ac:dyDescent="0.3">
      <c r="A203" s="136"/>
      <c r="B203" s="41"/>
      <c r="C203" s="197" t="s">
        <v>16</v>
      </c>
      <c r="D203" s="400" t="s">
        <v>17</v>
      </c>
      <c r="E203" s="41"/>
      <c r="F203" s="41"/>
      <c r="G203" s="43"/>
      <c r="H203" s="243" t="s">
        <v>12</v>
      </c>
      <c r="I203" s="144"/>
      <c r="J203" s="144"/>
      <c r="K203" s="145"/>
      <c r="L203" s="140">
        <f ca="1">L204+L205+L206+L207</f>
        <v>44000</v>
      </c>
      <c r="M203" s="46"/>
      <c r="N203" s="140">
        <f>N204+N205+N206+N207</f>
        <v>0</v>
      </c>
      <c r="O203" s="140">
        <f ca="1">IF(L203&gt;0,N203*100/L203,0)</f>
        <v>0</v>
      </c>
      <c r="P203" s="140">
        <f>IF(M203&gt;0,N203*100/M203,0)</f>
        <v>0</v>
      </c>
    </row>
    <row r="204" spans="1:16" ht="18.75" x14ac:dyDescent="0.25">
      <c r="A204" s="136"/>
      <c r="B204" s="228"/>
      <c r="C204" s="41"/>
      <c r="D204" s="253" t="s">
        <v>153</v>
      </c>
      <c r="E204" s="41"/>
      <c r="F204" s="41"/>
      <c r="G204" s="43"/>
      <c r="H204" s="143" t="s">
        <v>12</v>
      </c>
      <c r="I204" s="144"/>
      <c r="J204" s="144"/>
      <c r="K204" s="145"/>
      <c r="L204" s="47">
        <f ca="1">IFERROR(__xludf.DUMMYFUNCTION("IMPORTRANGE(""https://docs.google.com/spreadsheets/d/1eHaY18a8A9IcSdp1K8H6x8fbOy06t2VsZHhMHf-1x7Y/edit?usp=sharing"",""แผน!AG29"")"),3000)</f>
        <v>3000</v>
      </c>
      <c r="M204" s="46"/>
      <c r="N204" s="248">
        <v>0</v>
      </c>
      <c r="O204" s="145"/>
      <c r="P204" s="46"/>
    </row>
    <row r="205" spans="1:16" ht="18.75" x14ac:dyDescent="0.25">
      <c r="A205" s="227"/>
      <c r="B205" s="228"/>
      <c r="C205" s="41"/>
      <c r="D205" s="254" t="s">
        <v>81</v>
      </c>
      <c r="E205" s="41"/>
      <c r="F205" s="41"/>
      <c r="G205" s="43"/>
      <c r="H205" s="44" t="s">
        <v>12</v>
      </c>
      <c r="I205" s="45"/>
      <c r="J205" s="45"/>
      <c r="K205" s="46"/>
      <c r="L205" s="47">
        <f ca="1">IFERROR(__xludf.DUMMYFUNCTION("IMPORTRANGE(""https://docs.google.com/spreadsheets/d/1eHaY18a8A9IcSdp1K8H6x8fbOy06t2VsZHhMHf-1x7Y/edit?usp=sharing"",""แผน!AH29"")"),0)</f>
        <v>0</v>
      </c>
      <c r="M205" s="46"/>
      <c r="N205" s="248">
        <v>0</v>
      </c>
      <c r="O205" s="145"/>
      <c r="P205" s="46"/>
    </row>
    <row r="206" spans="1:16" ht="18.75" x14ac:dyDescent="0.25">
      <c r="A206" s="227"/>
      <c r="B206" s="228"/>
      <c r="C206" s="41"/>
      <c r="D206" s="254" t="s">
        <v>82</v>
      </c>
      <c r="E206" s="41"/>
      <c r="F206" s="41"/>
      <c r="G206" s="43"/>
      <c r="H206" s="44" t="s">
        <v>12</v>
      </c>
      <c r="I206" s="45"/>
      <c r="J206" s="45"/>
      <c r="K206" s="46"/>
      <c r="L206" s="47">
        <f ca="1">IFERROR(__xludf.DUMMYFUNCTION("IMPORTRANGE(""https://docs.google.com/spreadsheets/d/1eHaY18a8A9IcSdp1K8H6x8fbOy06t2VsZHhMHf-1x7Y/edit?usp=sharing"",""แผน!AI29"")"),24000)</f>
        <v>24000</v>
      </c>
      <c r="M206" s="46"/>
      <c r="N206" s="248">
        <v>0</v>
      </c>
      <c r="O206" s="145"/>
      <c r="P206" s="46"/>
    </row>
    <row r="207" spans="1:16" ht="18.75" x14ac:dyDescent="0.25">
      <c r="A207" s="227"/>
      <c r="B207" s="228"/>
      <c r="C207" s="41"/>
      <c r="D207" s="254" t="s">
        <v>83</v>
      </c>
      <c r="E207" s="41"/>
      <c r="F207" s="41"/>
      <c r="G207" s="43"/>
      <c r="H207" s="44" t="s">
        <v>12</v>
      </c>
      <c r="I207" s="45"/>
      <c r="J207" s="45"/>
      <c r="K207" s="46"/>
      <c r="L207" s="47">
        <f ca="1">IFERROR(__xludf.DUMMYFUNCTION("IMPORTRANGE(""https://docs.google.com/spreadsheets/d/1eHaY18a8A9IcSdp1K8H6x8fbOy06t2VsZHhMHf-1x7Y/edit?usp=sharing"",""แผน!AJ29"")"),17000)</f>
        <v>17000</v>
      </c>
      <c r="M207" s="46"/>
      <c r="N207" s="248">
        <v>0</v>
      </c>
      <c r="O207" s="145"/>
      <c r="P207" s="46"/>
    </row>
    <row r="208" spans="1:16" ht="19.5" x14ac:dyDescent="0.3">
      <c r="A208" s="148"/>
      <c r="B208" s="149"/>
      <c r="C208" s="197" t="s">
        <v>16</v>
      </c>
      <c r="D208" s="395" t="s">
        <v>36</v>
      </c>
      <c r="E208" s="151"/>
      <c r="F208" s="151"/>
      <c r="G208" s="152"/>
      <c r="H208" s="153"/>
      <c r="I208" s="144"/>
      <c r="J208" s="144"/>
      <c r="K208" s="145"/>
      <c r="L208" s="145"/>
      <c r="M208" s="145"/>
      <c r="N208" s="145"/>
      <c r="O208" s="145"/>
      <c r="P208" s="145"/>
    </row>
    <row r="209" spans="1:16" ht="18.75" x14ac:dyDescent="0.25">
      <c r="A209" s="148"/>
      <c r="B209" s="149"/>
      <c r="C209" s="149"/>
      <c r="D209" s="154" t="s">
        <v>84</v>
      </c>
      <c r="E209" s="155"/>
      <c r="F209" s="155"/>
      <c r="G209" s="153"/>
      <c r="H209" s="249" t="s">
        <v>79</v>
      </c>
      <c r="I209" s="169">
        <f ca="1">IFERROR(__xludf.DUMMYFUNCTION("IMPORTRANGE(""https://docs.google.com/spreadsheets/d/1eHaY18a8A9IcSdp1K8H6x8fbOy06t2VsZHhMHf-1x7Y/edit?usp=sharing"",""แผน!AK29"")"),3)</f>
        <v>3</v>
      </c>
      <c r="J209" s="250">
        <v>0</v>
      </c>
      <c r="K209" s="163">
        <f ca="1">IF(I209&gt;0,J209*100/I209,0)</f>
        <v>0</v>
      </c>
      <c r="L209" s="46"/>
      <c r="M209" s="46"/>
      <c r="N209" s="46"/>
      <c r="O209" s="46"/>
      <c r="P209" s="46"/>
    </row>
    <row r="210" spans="1:16" ht="18.75" x14ac:dyDescent="0.25">
      <c r="A210" s="148"/>
      <c r="B210" s="149"/>
      <c r="C210" s="149"/>
      <c r="D210" s="159" t="s">
        <v>48</v>
      </c>
      <c r="E210" s="155"/>
      <c r="F210" s="155"/>
      <c r="G210" s="153"/>
      <c r="H210" s="153"/>
      <c r="I210" s="45"/>
      <c r="J210" s="45"/>
      <c r="K210" s="145"/>
      <c r="L210" s="46"/>
      <c r="M210" s="46"/>
      <c r="N210" s="46"/>
      <c r="O210" s="46"/>
      <c r="P210" s="46"/>
    </row>
    <row r="211" spans="1:16" ht="18.75" x14ac:dyDescent="0.25">
      <c r="A211" s="148"/>
      <c r="B211" s="149"/>
      <c r="C211" s="149"/>
      <c r="D211" s="155"/>
      <c r="E211" s="159" t="s">
        <v>85</v>
      </c>
      <c r="F211" s="155"/>
      <c r="G211" s="153"/>
      <c r="H211" s="249" t="s">
        <v>79</v>
      </c>
      <c r="I211" s="169">
        <f ca="1">IFERROR(__xludf.DUMMYFUNCTION("IMPORTRANGE(""https://docs.google.com/spreadsheets/d/1eHaY18a8A9IcSdp1K8H6x8fbOy06t2VsZHhMHf-1x7Y/edit?usp=sharing"",""แผน!AK29"")"),3)</f>
        <v>3</v>
      </c>
      <c r="J211" s="250">
        <v>0</v>
      </c>
      <c r="K211" s="163">
        <f ca="1">IF(I211&gt;0,J211*100/I211,0)</f>
        <v>0</v>
      </c>
      <c r="L211" s="46"/>
      <c r="M211" s="46"/>
      <c r="N211" s="46"/>
      <c r="O211" s="46"/>
      <c r="P211" s="46"/>
    </row>
    <row r="212" spans="1:16" ht="18.75" x14ac:dyDescent="0.25">
      <c r="A212" s="148"/>
      <c r="B212" s="149"/>
      <c r="C212" s="149"/>
      <c r="D212" s="155"/>
      <c r="E212" s="159" t="s">
        <v>86</v>
      </c>
      <c r="F212" s="155"/>
      <c r="G212" s="155"/>
      <c r="H212" s="251" t="s">
        <v>87</v>
      </c>
      <c r="I212" s="169">
        <f ca="1">IFERROR(__xludf.DUMMYFUNCTION("IMPORTRANGE(""https://docs.google.com/spreadsheets/d/1eHaY18a8A9IcSdp1K8H6x8fbOy06t2VsZHhMHf-1x7Y/edit?usp=sharing"",""แผน!AK29"")"),3)</f>
        <v>3</v>
      </c>
      <c r="J212" s="250">
        <v>0</v>
      </c>
      <c r="K212" s="163">
        <f ca="1">IF(I212&gt;0,J212*100/I212,0)</f>
        <v>0</v>
      </c>
      <c r="L212" s="46"/>
      <c r="M212" s="46"/>
      <c r="N212" s="46"/>
      <c r="O212" s="46"/>
      <c r="P212" s="46"/>
    </row>
    <row r="213" spans="1:16" ht="19.5" x14ac:dyDescent="0.3">
      <c r="A213" s="233"/>
      <c r="B213" s="234"/>
      <c r="C213" s="235" t="s">
        <v>88</v>
      </c>
      <c r="D213" s="236"/>
      <c r="E213" s="236"/>
      <c r="F213" s="236"/>
      <c r="G213" s="237"/>
      <c r="H213" s="245" t="s">
        <v>79</v>
      </c>
      <c r="I213" s="239">
        <f ca="1">I220</f>
        <v>1</v>
      </c>
      <c r="J213" s="239">
        <f>J220</f>
        <v>0</v>
      </c>
      <c r="K213" s="240">
        <f ca="1">IF(I213&gt;0,J213*100/I213,0)</f>
        <v>0</v>
      </c>
      <c r="L213" s="241"/>
      <c r="M213" s="241"/>
      <c r="N213" s="241"/>
      <c r="O213" s="241"/>
      <c r="P213" s="241"/>
    </row>
    <row r="214" spans="1:16" ht="19.5" x14ac:dyDescent="0.3">
      <c r="A214" s="136"/>
      <c r="B214" s="41"/>
      <c r="C214" s="197" t="s">
        <v>16</v>
      </c>
      <c r="D214" s="400" t="s">
        <v>17</v>
      </c>
      <c r="E214" s="41"/>
      <c r="F214" s="41"/>
      <c r="G214" s="43"/>
      <c r="H214" s="243" t="s">
        <v>12</v>
      </c>
      <c r="I214" s="144"/>
      <c r="J214" s="144"/>
      <c r="K214" s="145"/>
      <c r="L214" s="140">
        <f ca="1">L215+L216+L217</f>
        <v>14000</v>
      </c>
      <c r="M214" s="46"/>
      <c r="N214" s="140">
        <f>N215+N216+N217</f>
        <v>0</v>
      </c>
      <c r="O214" s="140">
        <f ca="1">IF(L214&gt;0,N214*100/L214,0)</f>
        <v>0</v>
      </c>
      <c r="P214" s="140">
        <f>IF(M214&gt;0,N214*100/M214,0)</f>
        <v>0</v>
      </c>
    </row>
    <row r="215" spans="1:16" ht="18.75" x14ac:dyDescent="0.25">
      <c r="A215" s="136"/>
      <c r="B215" s="228"/>
      <c r="C215" s="41"/>
      <c r="D215" s="254" t="s">
        <v>80</v>
      </c>
      <c r="E215" s="41"/>
      <c r="F215" s="41"/>
      <c r="G215" s="43"/>
      <c r="H215" s="143" t="s">
        <v>12</v>
      </c>
      <c r="I215" s="144"/>
      <c r="J215" s="144"/>
      <c r="K215" s="145"/>
      <c r="L215" s="47">
        <f ca="1">IFERROR(__xludf.DUMMYFUNCTION("IMPORTRANGE(""https://docs.google.com/spreadsheets/d/1eHaY18a8A9IcSdp1K8H6x8fbOy06t2VsZHhMHf-1x7Y/edit?usp=sharing"",""แผน!AM29"")"),1000)</f>
        <v>1000</v>
      </c>
      <c r="M215" s="46"/>
      <c r="N215" s="248">
        <v>0</v>
      </c>
      <c r="O215" s="145"/>
      <c r="P215" s="46"/>
    </row>
    <row r="216" spans="1:16" ht="18.75" x14ac:dyDescent="0.25">
      <c r="A216" s="227"/>
      <c r="B216" s="228"/>
      <c r="C216" s="228"/>
      <c r="D216" s="254" t="s">
        <v>89</v>
      </c>
      <c r="E216" s="41"/>
      <c r="F216" s="41"/>
      <c r="G216" s="43"/>
      <c r="H216" s="143" t="s">
        <v>12</v>
      </c>
      <c r="I216" s="45"/>
      <c r="J216" s="45"/>
      <c r="K216" s="46"/>
      <c r="L216" s="47">
        <f ca="1">IFERROR(__xludf.DUMMYFUNCTION("IMPORTRANGE(""https://docs.google.com/spreadsheets/d/1eHaY18a8A9IcSdp1K8H6x8fbOy06t2VsZHhMHf-1x7Y/edit?usp=sharing"",""แผน!AN29"")"),5000)</f>
        <v>5000</v>
      </c>
      <c r="M216" s="46"/>
      <c r="N216" s="248">
        <v>0</v>
      </c>
      <c r="O216" s="145"/>
      <c r="P216" s="46"/>
    </row>
    <row r="217" spans="1:16" ht="18.75" x14ac:dyDescent="0.25">
      <c r="A217" s="227"/>
      <c r="B217" s="228"/>
      <c r="C217" s="228"/>
      <c r="D217" s="254" t="s">
        <v>82</v>
      </c>
      <c r="E217" s="41"/>
      <c r="F217" s="41"/>
      <c r="G217" s="43"/>
      <c r="H217" s="143" t="s">
        <v>12</v>
      </c>
      <c r="I217" s="45"/>
      <c r="J217" s="45"/>
      <c r="K217" s="46"/>
      <c r="L217" s="47">
        <f ca="1">IFERROR(__xludf.DUMMYFUNCTION("IMPORTRANGE(""https://docs.google.com/spreadsheets/d/1eHaY18a8A9IcSdp1K8H6x8fbOy06t2VsZHhMHf-1x7Y/edit?usp=sharing"",""แผน!AO29"")"),8000)</f>
        <v>8000</v>
      </c>
      <c r="M217" s="46"/>
      <c r="N217" s="248">
        <v>0</v>
      </c>
      <c r="O217" s="145"/>
      <c r="P217" s="46"/>
    </row>
    <row r="218" spans="1:16" ht="19.5" x14ac:dyDescent="0.3">
      <c r="A218" s="148"/>
      <c r="B218" s="149"/>
      <c r="C218" s="252" t="s">
        <v>16</v>
      </c>
      <c r="D218" s="395" t="s">
        <v>36</v>
      </c>
      <c r="E218" s="151"/>
      <c r="F218" s="151"/>
      <c r="G218" s="152"/>
      <c r="H218" s="153"/>
      <c r="I218" s="144"/>
      <c r="J218" s="45"/>
      <c r="K218" s="46"/>
      <c r="L218" s="46"/>
      <c r="M218" s="46"/>
      <c r="N218" s="46"/>
      <c r="O218" s="145"/>
      <c r="P218" s="145"/>
    </row>
    <row r="219" spans="1:16" ht="18.75" x14ac:dyDescent="0.25">
      <c r="A219" s="148"/>
      <c r="B219" s="149"/>
      <c r="C219" s="149"/>
      <c r="D219" s="154" t="s">
        <v>90</v>
      </c>
      <c r="E219" s="155"/>
      <c r="F219" s="155"/>
      <c r="G219" s="153"/>
      <c r="H219" s="249" t="s">
        <v>79</v>
      </c>
      <c r="I219" s="169">
        <f ca="1">IFERROR(__xludf.DUMMYFUNCTION("IMPORTRANGE(""https://docs.google.com/spreadsheets/d/1eHaY18a8A9IcSdp1K8H6x8fbOy06t2VsZHhMHf-1x7Y/edit?usp=sharing"",""แผน!AP29"")"),1)</f>
        <v>1</v>
      </c>
      <c r="J219" s="250">
        <v>0</v>
      </c>
      <c r="K219" s="47">
        <f ca="1">IF(I219&gt;0,J219*100/I219,0)</f>
        <v>0</v>
      </c>
      <c r="L219" s="46"/>
      <c r="M219" s="46"/>
      <c r="N219" s="46"/>
      <c r="O219" s="46"/>
      <c r="P219" s="46"/>
    </row>
    <row r="220" spans="1:16" ht="18.75" x14ac:dyDescent="0.25">
      <c r="A220" s="148"/>
      <c r="B220" s="149"/>
      <c r="C220" s="149"/>
      <c r="D220" s="154" t="s">
        <v>91</v>
      </c>
      <c r="E220" s="155"/>
      <c r="F220" s="155"/>
      <c r="G220" s="153"/>
      <c r="H220" s="249" t="s">
        <v>79</v>
      </c>
      <c r="I220" s="169">
        <f ca="1">IFERROR(__xludf.DUMMYFUNCTION("IMPORTRANGE(""https://docs.google.com/spreadsheets/d/1eHaY18a8A9IcSdp1K8H6x8fbOy06t2VsZHhMHf-1x7Y/edit?usp=sharing"",""แผน!AP29"")"),1)</f>
        <v>1</v>
      </c>
      <c r="J220" s="250">
        <v>0</v>
      </c>
      <c r="K220" s="47">
        <f ca="1">IF(I220&gt;0,J220*100/I220,0)</f>
        <v>0</v>
      </c>
      <c r="L220" s="46"/>
      <c r="M220" s="46"/>
      <c r="N220" s="46"/>
      <c r="O220" s="46"/>
      <c r="P220" s="46"/>
    </row>
    <row r="221" spans="1:16" ht="19.5" x14ac:dyDescent="0.3">
      <c r="A221" s="233"/>
      <c r="B221" s="234"/>
      <c r="C221" s="235" t="s">
        <v>92</v>
      </c>
      <c r="D221" s="236"/>
      <c r="E221" s="236"/>
      <c r="F221" s="236"/>
      <c r="G221" s="237"/>
      <c r="H221" s="238" t="s">
        <v>93</v>
      </c>
      <c r="I221" s="239">
        <f ca="1">I229</f>
        <v>30000</v>
      </c>
      <c r="J221" s="239">
        <f>J229</f>
        <v>0</v>
      </c>
      <c r="K221" s="240">
        <f ca="1">IF(I221&gt;0,J221*100/I221,0)</f>
        <v>0</v>
      </c>
      <c r="L221" s="241"/>
      <c r="M221" s="241"/>
      <c r="N221" s="241"/>
      <c r="O221" s="241"/>
      <c r="P221" s="241"/>
    </row>
    <row r="222" spans="1:16" ht="19.5" x14ac:dyDescent="0.3">
      <c r="A222" s="136"/>
      <c r="B222" s="41"/>
      <c r="C222" s="197" t="s">
        <v>16</v>
      </c>
      <c r="D222" s="400" t="s">
        <v>17</v>
      </c>
      <c r="E222" s="41"/>
      <c r="F222" s="41"/>
      <c r="G222" s="43"/>
      <c r="H222" s="243" t="s">
        <v>12</v>
      </c>
      <c r="I222" s="144"/>
      <c r="J222" s="144"/>
      <c r="K222" s="145"/>
      <c r="L222" s="140">
        <f ca="1">L223+L224+L225</f>
        <v>6500</v>
      </c>
      <c r="M222" s="46"/>
      <c r="N222" s="140">
        <f>N223+N224+N225</f>
        <v>0</v>
      </c>
      <c r="O222" s="140">
        <f ca="1">IF(L222&gt;0,N222*100/L222,0)</f>
        <v>0</v>
      </c>
      <c r="P222" s="140">
        <f>IF(M222&gt;0,N222*100/M222,0)</f>
        <v>0</v>
      </c>
    </row>
    <row r="223" spans="1:16" ht="18.75" x14ac:dyDescent="0.25">
      <c r="A223" s="136"/>
      <c r="B223" s="228"/>
      <c r="C223" s="41"/>
      <c r="D223" s="253" t="s">
        <v>94</v>
      </c>
      <c r="E223" s="41"/>
      <c r="F223" s="41"/>
      <c r="G223" s="43"/>
      <c r="H223" s="143" t="s">
        <v>12</v>
      </c>
      <c r="I223" s="144"/>
      <c r="J223" s="144"/>
      <c r="K223" s="145"/>
      <c r="L223" s="47">
        <f ca="1">IFERROR(__xludf.DUMMYFUNCTION("IMPORTRANGE(""https://docs.google.com/spreadsheets/d/1eHaY18a8A9IcSdp1K8H6x8fbOy06t2VsZHhMHf-1x7Y/edit?usp=sharing"",""แผน!AR29"")"),5000)</f>
        <v>5000</v>
      </c>
      <c r="M223" s="46"/>
      <c r="N223" s="248">
        <v>0</v>
      </c>
      <c r="O223" s="145"/>
      <c r="P223" s="46"/>
    </row>
    <row r="224" spans="1:16" ht="18.75" x14ac:dyDescent="0.25">
      <c r="A224" s="227"/>
      <c r="B224" s="228"/>
      <c r="C224" s="228"/>
      <c r="D224" s="254" t="s">
        <v>95</v>
      </c>
      <c r="E224" s="41"/>
      <c r="F224" s="41"/>
      <c r="G224" s="43"/>
      <c r="H224" s="143" t="s">
        <v>12</v>
      </c>
      <c r="I224" s="45"/>
      <c r="J224" s="45"/>
      <c r="K224" s="46"/>
      <c r="L224" s="47">
        <f ca="1">IFERROR(__xludf.DUMMYFUNCTION("IMPORTRANGE(""https://docs.google.com/spreadsheets/d/1eHaY18a8A9IcSdp1K8H6x8fbOy06t2VsZHhMHf-1x7Y/edit?usp=sharing"",""แผน!AS29"")"),1500)</f>
        <v>1500</v>
      </c>
      <c r="M224" s="46"/>
      <c r="N224" s="248">
        <v>0</v>
      </c>
      <c r="O224" s="145"/>
      <c r="P224" s="46"/>
    </row>
    <row r="225" spans="1:16" ht="18.75" x14ac:dyDescent="0.25">
      <c r="A225" s="227"/>
      <c r="B225" s="228"/>
      <c r="C225" s="228"/>
      <c r="D225" s="254" t="s">
        <v>82</v>
      </c>
      <c r="E225" s="41"/>
      <c r="F225" s="41"/>
      <c r="G225" s="43"/>
      <c r="H225" s="143" t="s">
        <v>12</v>
      </c>
      <c r="I225" s="45"/>
      <c r="J225" s="45"/>
      <c r="K225" s="46"/>
      <c r="L225" s="47">
        <f ca="1">IFERROR(__xludf.DUMMYFUNCTION("IMPORTRANGE(""https://docs.google.com/spreadsheets/d/1eHaY18a8A9IcSdp1K8H6x8fbOy06t2VsZHhMHf-1x7Y/edit?usp=sharing"",""แผน!AT29"")"),0)</f>
        <v>0</v>
      </c>
      <c r="M225" s="46"/>
      <c r="N225" s="248">
        <v>0</v>
      </c>
      <c r="O225" s="145"/>
      <c r="P225" s="46"/>
    </row>
    <row r="226" spans="1:16" ht="19.5" x14ac:dyDescent="0.3">
      <c r="A226" s="148"/>
      <c r="B226" s="149"/>
      <c r="C226" s="252" t="s">
        <v>16</v>
      </c>
      <c r="D226" s="395" t="s">
        <v>36</v>
      </c>
      <c r="E226" s="151"/>
      <c r="F226" s="151"/>
      <c r="G226" s="152"/>
      <c r="H226" s="153"/>
      <c r="I226" s="144"/>
      <c r="J226" s="144"/>
      <c r="K226" s="145"/>
      <c r="L226" s="145"/>
      <c r="M226" s="145"/>
      <c r="N226" s="145"/>
      <c r="O226" s="145"/>
      <c r="P226" s="145"/>
    </row>
    <row r="227" spans="1:16" ht="18.75" x14ac:dyDescent="0.25">
      <c r="A227" s="148"/>
      <c r="B227" s="149"/>
      <c r="C227" s="149"/>
      <c r="D227" s="254" t="s">
        <v>96</v>
      </c>
      <c r="E227" s="155"/>
      <c r="F227" s="155"/>
      <c r="G227" s="153"/>
      <c r="H227" s="153"/>
      <c r="I227" s="45"/>
      <c r="J227" s="45"/>
      <c r="K227" s="145"/>
      <c r="L227" s="145"/>
      <c r="M227" s="145"/>
      <c r="N227" s="145"/>
      <c r="O227" s="145"/>
      <c r="P227" s="145"/>
    </row>
    <row r="228" spans="1:16" ht="18.75" x14ac:dyDescent="0.25">
      <c r="A228" s="148"/>
      <c r="B228" s="149"/>
      <c r="C228" s="149"/>
      <c r="D228" s="149"/>
      <c r="E228" s="154" t="s">
        <v>97</v>
      </c>
      <c r="F228" s="155"/>
      <c r="G228" s="153"/>
      <c r="H228" s="251" t="s">
        <v>93</v>
      </c>
      <c r="I228" s="169">
        <f ca="1">IFERROR(__xludf.DUMMYFUNCTION("IMPORTRANGE(""https://docs.google.com/spreadsheets/d/1eHaY18a8A9IcSdp1K8H6x8fbOy06t2VsZHhMHf-1x7Y/edit?usp=sharing"",""แผน!AV29"")"),30000)</f>
        <v>30000</v>
      </c>
      <c r="J228" s="250">
        <v>0</v>
      </c>
      <c r="K228" s="163">
        <f ca="1">IF(I228&gt;0,J228*100/I228,0)</f>
        <v>0</v>
      </c>
      <c r="L228" s="145"/>
      <c r="M228" s="145"/>
      <c r="N228" s="145"/>
      <c r="O228" s="145"/>
      <c r="P228" s="145"/>
    </row>
    <row r="229" spans="1:16" ht="18.75" x14ac:dyDescent="0.25">
      <c r="A229" s="148"/>
      <c r="B229" s="149"/>
      <c r="C229" s="149"/>
      <c r="D229" s="149"/>
      <c r="E229" s="154" t="s">
        <v>98</v>
      </c>
      <c r="F229" s="155"/>
      <c r="G229" s="153"/>
      <c r="H229" s="251" t="s">
        <v>93</v>
      </c>
      <c r="I229" s="169">
        <f ca="1">IFERROR(__xludf.DUMMYFUNCTION("IMPORTRANGE(""https://docs.google.com/spreadsheets/d/1eHaY18a8A9IcSdp1K8H6x8fbOy06t2VsZHhMHf-1x7Y/edit?usp=sharing"",""แผน!AV29"")"),30000)</f>
        <v>30000</v>
      </c>
      <c r="J229" s="250">
        <v>0</v>
      </c>
      <c r="K229" s="163">
        <f ca="1">IF(I229&gt;0,J229*100/I229,0)</f>
        <v>0</v>
      </c>
      <c r="L229" s="46"/>
      <c r="M229" s="46"/>
      <c r="N229" s="46"/>
      <c r="O229" s="46"/>
      <c r="P229" s="46"/>
    </row>
    <row r="230" spans="1:16" ht="18.75" x14ac:dyDescent="0.25">
      <c r="A230" s="148"/>
      <c r="B230" s="149"/>
      <c r="C230" s="149"/>
      <c r="D230" s="254" t="s">
        <v>99</v>
      </c>
      <c r="E230" s="155"/>
      <c r="F230" s="155"/>
      <c r="G230" s="153"/>
      <c r="H230" s="251" t="s">
        <v>33</v>
      </c>
      <c r="I230" s="169">
        <f ca="1">IFERROR(__xludf.DUMMYFUNCTION("IMPORTRANGE(""https://docs.google.com/spreadsheets/d/1eHaY18a8A9IcSdp1K8H6x8fbOy06t2VsZHhMHf-1x7Y/edit?usp=sharing"",""แผน!AU29"")"),0)</f>
        <v>0</v>
      </c>
      <c r="J230" s="250">
        <v>0</v>
      </c>
      <c r="K230" s="163">
        <f ca="1">IF(I230&gt;0,J230*100/I230,0)</f>
        <v>0</v>
      </c>
      <c r="L230" s="46"/>
      <c r="M230" s="46"/>
      <c r="N230" s="46"/>
      <c r="O230" s="46"/>
      <c r="P230" s="46"/>
    </row>
    <row r="231" spans="1:16" ht="19.5" hidden="1" x14ac:dyDescent="0.3">
      <c r="A231" s="233"/>
      <c r="B231" s="234"/>
      <c r="C231" s="235" t="s">
        <v>100</v>
      </c>
      <c r="D231" s="236"/>
      <c r="E231" s="236"/>
      <c r="F231" s="236"/>
      <c r="G231" s="237"/>
      <c r="H231" s="238" t="s">
        <v>33</v>
      </c>
      <c r="I231" s="239">
        <f ca="1">I242+I253</f>
        <v>0</v>
      </c>
      <c r="J231" s="239">
        <f>J242+J253</f>
        <v>0</v>
      </c>
      <c r="K231" s="240">
        <f ca="1">IF(I231&gt;0,J231*100/I231,0)</f>
        <v>0</v>
      </c>
      <c r="L231" s="241"/>
      <c r="M231" s="241"/>
      <c r="N231" s="241"/>
      <c r="O231" s="241"/>
      <c r="P231" s="241"/>
    </row>
    <row r="232" spans="1:16" ht="19.5" hidden="1" x14ac:dyDescent="0.3">
      <c r="A232" s="136"/>
      <c r="B232" s="41"/>
      <c r="C232" s="197" t="s">
        <v>16</v>
      </c>
      <c r="D232" s="397" t="s">
        <v>17</v>
      </c>
      <c r="E232" s="41"/>
      <c r="F232" s="41"/>
      <c r="G232" s="43"/>
      <c r="H232" s="243" t="s">
        <v>12</v>
      </c>
      <c r="I232" s="144"/>
      <c r="J232" s="144"/>
      <c r="K232" s="145"/>
      <c r="L232" s="140">
        <f ca="1">L243+L254</f>
        <v>0</v>
      </c>
      <c r="M232" s="46"/>
      <c r="N232" s="140">
        <f>N243+N254</f>
        <v>0</v>
      </c>
      <c r="O232" s="46"/>
      <c r="P232" s="46"/>
    </row>
    <row r="233" spans="1:16" ht="18.75" hidden="1" x14ac:dyDescent="0.25">
      <c r="A233" s="136"/>
      <c r="B233" s="228"/>
      <c r="C233" s="41"/>
      <c r="D233" s="254" t="s">
        <v>80</v>
      </c>
      <c r="E233" s="41"/>
      <c r="F233" s="41"/>
      <c r="G233" s="43"/>
      <c r="H233" s="143" t="s">
        <v>12</v>
      </c>
      <c r="I233" s="144"/>
      <c r="J233" s="144"/>
      <c r="K233" s="145"/>
      <c r="L233" s="47">
        <f ca="1">L244+L255</f>
        <v>0</v>
      </c>
      <c r="M233" s="46"/>
      <c r="N233" s="47">
        <f>N244+N255</f>
        <v>0</v>
      </c>
      <c r="O233" s="46"/>
      <c r="P233" s="46"/>
    </row>
    <row r="234" spans="1:16" ht="18.75" hidden="1" x14ac:dyDescent="0.25">
      <c r="A234" s="227"/>
      <c r="B234" s="228"/>
      <c r="C234" s="228"/>
      <c r="D234" s="254" t="s">
        <v>82</v>
      </c>
      <c r="E234" s="41"/>
      <c r="F234" s="41"/>
      <c r="G234" s="43"/>
      <c r="H234" s="143" t="s">
        <v>12</v>
      </c>
      <c r="I234" s="45"/>
      <c r="J234" s="45"/>
      <c r="K234" s="46"/>
      <c r="L234" s="47">
        <f ca="1">L245+L256</f>
        <v>0</v>
      </c>
      <c r="M234" s="46"/>
      <c r="N234" s="47">
        <f>N245+N256</f>
        <v>0</v>
      </c>
      <c r="O234" s="46"/>
      <c r="P234" s="46"/>
    </row>
    <row r="235" spans="1:16" ht="18.75" hidden="1" x14ac:dyDescent="0.25">
      <c r="A235" s="227"/>
      <c r="B235" s="228"/>
      <c r="C235" s="228"/>
      <c r="D235" s="254" t="s">
        <v>101</v>
      </c>
      <c r="E235" s="41"/>
      <c r="F235" s="41"/>
      <c r="G235" s="43"/>
      <c r="H235" s="143" t="s">
        <v>12</v>
      </c>
      <c r="I235" s="45"/>
      <c r="J235" s="45"/>
      <c r="K235" s="46"/>
      <c r="L235" s="47">
        <f ca="1">L246+L257</f>
        <v>0</v>
      </c>
      <c r="M235" s="46"/>
      <c r="N235" s="47">
        <f>N246+N257</f>
        <v>0</v>
      </c>
      <c r="O235" s="46"/>
      <c r="P235" s="46"/>
    </row>
    <row r="236" spans="1:16" ht="18.75" hidden="1" x14ac:dyDescent="0.25">
      <c r="A236" s="227"/>
      <c r="B236" s="228"/>
      <c r="C236" s="228"/>
      <c r="D236" s="254" t="s">
        <v>102</v>
      </c>
      <c r="E236" s="41"/>
      <c r="F236" s="41"/>
      <c r="G236" s="43"/>
      <c r="H236" s="143" t="s">
        <v>12</v>
      </c>
      <c r="I236" s="45"/>
      <c r="J236" s="45"/>
      <c r="K236" s="46"/>
      <c r="L236" s="47">
        <f ca="1">L247+L258</f>
        <v>0</v>
      </c>
      <c r="M236" s="46"/>
      <c r="N236" s="47">
        <f>N247+N258</f>
        <v>0</v>
      </c>
      <c r="O236" s="46"/>
      <c r="P236" s="46"/>
    </row>
    <row r="237" spans="1:16" ht="19.5" hidden="1" x14ac:dyDescent="0.3">
      <c r="A237" s="148"/>
      <c r="B237" s="149"/>
      <c r="C237" s="252" t="s">
        <v>16</v>
      </c>
      <c r="D237" s="395" t="s">
        <v>36</v>
      </c>
      <c r="E237" s="151"/>
      <c r="F237" s="151"/>
      <c r="G237" s="152"/>
      <c r="H237" s="153"/>
      <c r="I237" s="144"/>
      <c r="J237" s="45"/>
      <c r="K237" s="46"/>
      <c r="L237" s="46"/>
      <c r="M237" s="46"/>
      <c r="N237" s="46"/>
      <c r="O237" s="145"/>
      <c r="P237" s="145"/>
    </row>
    <row r="238" spans="1:16" ht="18.75" hidden="1" x14ac:dyDescent="0.25">
      <c r="A238" s="148"/>
      <c r="B238" s="149"/>
      <c r="C238" s="149"/>
      <c r="D238" s="159" t="s">
        <v>103</v>
      </c>
      <c r="E238" s="155"/>
      <c r="F238" s="155"/>
      <c r="G238" s="153"/>
      <c r="H238" s="251" t="s">
        <v>33</v>
      </c>
      <c r="I238" s="169">
        <f ca="1">I249+I260</f>
        <v>0</v>
      </c>
      <c r="J238" s="169">
        <f>J249+J260</f>
        <v>0</v>
      </c>
      <c r="K238" s="47">
        <f ca="1">IF(I238&gt;0,J238*100/I238,0)</f>
        <v>0</v>
      </c>
      <c r="L238" s="46"/>
      <c r="M238" s="46"/>
      <c r="N238" s="46"/>
      <c r="O238" s="46"/>
      <c r="P238" s="46"/>
    </row>
    <row r="239" spans="1:16" ht="18.75" hidden="1" x14ac:dyDescent="0.25">
      <c r="A239" s="148"/>
      <c r="B239" s="149"/>
      <c r="C239" s="149"/>
      <c r="D239" s="255" t="s">
        <v>41</v>
      </c>
      <c r="E239" s="155"/>
      <c r="F239" s="155"/>
      <c r="G239" s="153"/>
      <c r="H239" s="153"/>
      <c r="I239" s="45"/>
      <c r="J239" s="45"/>
      <c r="K239" s="46"/>
      <c r="L239" s="46"/>
      <c r="M239" s="46"/>
      <c r="N239" s="46"/>
      <c r="O239" s="145"/>
      <c r="P239" s="145"/>
    </row>
    <row r="240" spans="1:16" ht="18.75" hidden="1" x14ac:dyDescent="0.25">
      <c r="A240" s="148"/>
      <c r="B240" s="149"/>
      <c r="C240" s="149"/>
      <c r="D240" s="149"/>
      <c r="E240" s="154" t="s">
        <v>104</v>
      </c>
      <c r="F240" s="155"/>
      <c r="G240" s="153"/>
      <c r="H240" s="251" t="s">
        <v>33</v>
      </c>
      <c r="I240" s="169">
        <f>I251+I262</f>
        <v>0</v>
      </c>
      <c r="J240" s="169">
        <f>J251+J262</f>
        <v>0</v>
      </c>
      <c r="K240" s="47">
        <f>IF(I240&gt;0,J240*100/I240,0)</f>
        <v>0</v>
      </c>
      <c r="L240" s="46"/>
      <c r="M240" s="46"/>
      <c r="N240" s="46"/>
      <c r="O240" s="46"/>
      <c r="P240" s="46"/>
    </row>
    <row r="241" spans="1:16" ht="18.75" hidden="1" x14ac:dyDescent="0.25">
      <c r="A241" s="148"/>
      <c r="B241" s="149"/>
      <c r="C241" s="149"/>
      <c r="D241" s="149"/>
      <c r="E241" s="154" t="s">
        <v>105</v>
      </c>
      <c r="F241" s="155"/>
      <c r="G241" s="153"/>
      <c r="H241" s="251" t="s">
        <v>54</v>
      </c>
      <c r="I241" s="169">
        <f>I252+I263</f>
        <v>0</v>
      </c>
      <c r="J241" s="169">
        <f>J252+J263</f>
        <v>0</v>
      </c>
      <c r="K241" s="47">
        <f>IF(I241&gt;0,J241*100/I241,0)</f>
        <v>0</v>
      </c>
      <c r="L241" s="46"/>
      <c r="M241" s="46"/>
      <c r="N241" s="46"/>
      <c r="O241" s="46"/>
      <c r="P241" s="46"/>
    </row>
    <row r="242" spans="1:16" ht="19.5" hidden="1" x14ac:dyDescent="0.3">
      <c r="A242" s="233"/>
      <c r="B242" s="234"/>
      <c r="C242" s="256" t="s">
        <v>106</v>
      </c>
      <c r="D242" s="236"/>
      <c r="E242" s="236"/>
      <c r="F242" s="236"/>
      <c r="G242" s="237"/>
      <c r="H242" s="257" t="s">
        <v>33</v>
      </c>
      <c r="I242" s="258">
        <f ca="1">I249</f>
        <v>0</v>
      </c>
      <c r="J242" s="258">
        <f>J249</f>
        <v>0</v>
      </c>
      <c r="K242" s="259">
        <f ca="1">IF(I242&gt;0,J242*100/I242,0)</f>
        <v>0</v>
      </c>
      <c r="L242" s="241"/>
      <c r="M242" s="241"/>
      <c r="N242" s="241"/>
      <c r="O242" s="241"/>
      <c r="P242" s="241"/>
    </row>
    <row r="243" spans="1:16" ht="19.5" hidden="1" x14ac:dyDescent="0.3">
      <c r="A243" s="136"/>
      <c r="B243" s="41"/>
      <c r="C243" s="260" t="s">
        <v>16</v>
      </c>
      <c r="D243" s="261" t="s">
        <v>17</v>
      </c>
      <c r="E243" s="41"/>
      <c r="F243" s="41"/>
      <c r="G243" s="43"/>
      <c r="H243" s="262" t="s">
        <v>12</v>
      </c>
      <c r="I243" s="144"/>
      <c r="J243" s="144"/>
      <c r="K243" s="145"/>
      <c r="L243" s="263">
        <f ca="1">L244+L245+L246+L247</f>
        <v>0</v>
      </c>
      <c r="M243" s="46"/>
      <c r="N243" s="263">
        <f>N244+N245+N246+N247</f>
        <v>0</v>
      </c>
      <c r="O243" s="263">
        <f ca="1">IF(L243&gt;0,N243*100/L243,0)</f>
        <v>0</v>
      </c>
      <c r="P243" s="263">
        <f>IF(M243&gt;0,N243*100/M243,0)</f>
        <v>0</v>
      </c>
    </row>
    <row r="244" spans="1:16" ht="18.75" hidden="1" x14ac:dyDescent="0.25">
      <c r="A244" s="136"/>
      <c r="B244" s="228"/>
      <c r="C244" s="41"/>
      <c r="D244" s="279" t="s">
        <v>80</v>
      </c>
      <c r="E244" s="41"/>
      <c r="F244" s="41"/>
      <c r="G244" s="43"/>
      <c r="H244" s="146" t="s">
        <v>12</v>
      </c>
      <c r="I244" s="144"/>
      <c r="J244" s="144"/>
      <c r="K244" s="145"/>
      <c r="L244" s="50">
        <f ca="1">IFERROR(__xludf.DUMMYFUNCTION("IMPORTRANGE(""https://docs.google.com/spreadsheets/d/1eHaY18a8A9IcSdp1K8H6x8fbOy06t2VsZHhMHf-1x7Y/edit?usp=sharing"",""แผน!AX29"")"),0)</f>
        <v>0</v>
      </c>
      <c r="M244" s="46"/>
      <c r="N244" s="264">
        <v>0</v>
      </c>
      <c r="O244" s="46"/>
      <c r="P244" s="46"/>
    </row>
    <row r="245" spans="1:16" ht="18.75" hidden="1" x14ac:dyDescent="0.25">
      <c r="A245" s="227"/>
      <c r="B245" s="228"/>
      <c r="C245" s="228"/>
      <c r="D245" s="279" t="s">
        <v>82</v>
      </c>
      <c r="E245" s="41"/>
      <c r="F245" s="41"/>
      <c r="G245" s="43"/>
      <c r="H245" s="146" t="s">
        <v>12</v>
      </c>
      <c r="I245" s="45"/>
      <c r="J245" s="45"/>
      <c r="K245" s="46"/>
      <c r="L245" s="50">
        <f ca="1">IFERROR(__xludf.DUMMYFUNCTION("IMPORTRANGE(""https://docs.google.com/spreadsheets/d/1eHaY18a8A9IcSdp1K8H6x8fbOy06t2VsZHhMHf-1x7Y/edit?usp=sharing"",""แผน!AY29"")"),0)</f>
        <v>0</v>
      </c>
      <c r="M245" s="46"/>
      <c r="N245" s="264">
        <v>0</v>
      </c>
      <c r="O245" s="46"/>
      <c r="P245" s="46"/>
    </row>
    <row r="246" spans="1:16" ht="18.75" hidden="1" x14ac:dyDescent="0.25">
      <c r="A246" s="227"/>
      <c r="B246" s="228"/>
      <c r="C246" s="228"/>
      <c r="D246" s="279" t="s">
        <v>101</v>
      </c>
      <c r="E246" s="41"/>
      <c r="F246" s="41"/>
      <c r="G246" s="43"/>
      <c r="H246" s="146" t="s">
        <v>12</v>
      </c>
      <c r="I246" s="45"/>
      <c r="J246" s="45"/>
      <c r="K246" s="46"/>
      <c r="L246" s="50">
        <f ca="1">IFERROR(__xludf.DUMMYFUNCTION("IMPORTRANGE(""https://docs.google.com/spreadsheets/d/1eHaY18a8A9IcSdp1K8H6x8fbOy06t2VsZHhMHf-1x7Y/edit?usp=sharing"",""แผน!AZ29"")"),0)</f>
        <v>0</v>
      </c>
      <c r="M246" s="46"/>
      <c r="N246" s="264">
        <v>0</v>
      </c>
      <c r="O246" s="46"/>
      <c r="P246" s="46"/>
    </row>
    <row r="247" spans="1:16" ht="18.75" hidden="1" x14ac:dyDescent="0.25">
      <c r="A247" s="227"/>
      <c r="B247" s="228"/>
      <c r="C247" s="228"/>
      <c r="D247" s="279" t="s">
        <v>102</v>
      </c>
      <c r="E247" s="41"/>
      <c r="F247" s="41"/>
      <c r="G247" s="43"/>
      <c r="H247" s="146" t="s">
        <v>12</v>
      </c>
      <c r="I247" s="45"/>
      <c r="J247" s="45"/>
      <c r="K247" s="46"/>
      <c r="L247" s="50">
        <f ca="1">IFERROR(__xludf.DUMMYFUNCTION("IMPORTRANGE(""https://docs.google.com/spreadsheets/d/1eHaY18a8A9IcSdp1K8H6x8fbOy06t2VsZHhMHf-1x7Y/edit?usp=sharing"",""แผน!BA29"")"),0)</f>
        <v>0</v>
      </c>
      <c r="M247" s="46"/>
      <c r="N247" s="264">
        <v>0</v>
      </c>
      <c r="O247" s="46"/>
      <c r="P247" s="46"/>
    </row>
    <row r="248" spans="1:16" ht="19.5" hidden="1" x14ac:dyDescent="0.3">
      <c r="A248" s="148"/>
      <c r="B248" s="149"/>
      <c r="C248" s="265" t="s">
        <v>16</v>
      </c>
      <c r="D248" s="394" t="s">
        <v>36</v>
      </c>
      <c r="E248" s="151"/>
      <c r="F248" s="151"/>
      <c r="G248" s="152"/>
      <c r="H248" s="153"/>
      <c r="I248" s="144"/>
      <c r="J248" s="45"/>
      <c r="K248" s="46"/>
      <c r="L248" s="46"/>
      <c r="M248" s="46"/>
      <c r="N248" s="46"/>
      <c r="O248" s="145"/>
      <c r="P248" s="145"/>
    </row>
    <row r="249" spans="1:16" ht="18.75" hidden="1" x14ac:dyDescent="0.25">
      <c r="A249" s="148"/>
      <c r="B249" s="149"/>
      <c r="C249" s="149"/>
      <c r="D249" s="267" t="s">
        <v>103</v>
      </c>
      <c r="E249" s="155"/>
      <c r="F249" s="155"/>
      <c r="G249" s="153"/>
      <c r="H249" s="268" t="s">
        <v>33</v>
      </c>
      <c r="I249" s="200">
        <f ca="1">IFERROR(__xludf.DUMMYFUNCTION("IMPORTRANGE(""https://docs.google.com/spreadsheets/d/1eHaY18a8A9IcSdp1K8H6x8fbOy06t2VsZHhMHf-1x7Y/edit?usp=sharing"",""แผน!BG29"")"),0)</f>
        <v>0</v>
      </c>
      <c r="J249" s="201">
        <v>0</v>
      </c>
      <c r="K249" s="50">
        <f ca="1">IF(I249&gt;0,J249*100/I249,0)</f>
        <v>0</v>
      </c>
      <c r="L249" s="46"/>
      <c r="M249" s="46"/>
      <c r="N249" s="46"/>
      <c r="O249" s="46"/>
      <c r="P249" s="46"/>
    </row>
    <row r="250" spans="1:16" ht="18.75" hidden="1" x14ac:dyDescent="0.25">
      <c r="A250" s="148"/>
      <c r="B250" s="149"/>
      <c r="C250" s="149"/>
      <c r="D250" s="269" t="s">
        <v>41</v>
      </c>
      <c r="E250" s="155"/>
      <c r="F250" s="155"/>
      <c r="G250" s="153"/>
      <c r="H250" s="153"/>
      <c r="I250" s="45"/>
      <c r="J250" s="45"/>
      <c r="K250" s="46"/>
      <c r="L250" s="46"/>
      <c r="M250" s="46"/>
      <c r="N250" s="46"/>
      <c r="O250" s="145"/>
      <c r="P250" s="145"/>
    </row>
    <row r="251" spans="1:16" ht="18.75" hidden="1" x14ac:dyDescent="0.25">
      <c r="A251" s="148"/>
      <c r="B251" s="149"/>
      <c r="C251" s="149"/>
      <c r="D251" s="149"/>
      <c r="E251" s="270" t="s">
        <v>104</v>
      </c>
      <c r="F251" s="155"/>
      <c r="G251" s="153"/>
      <c r="H251" s="268" t="s">
        <v>33</v>
      </c>
      <c r="I251" s="200">
        <v>0</v>
      </c>
      <c r="J251" s="201">
        <v>0</v>
      </c>
      <c r="K251" s="50">
        <f>IF(I251&gt;0,J251*100/I251,0)</f>
        <v>0</v>
      </c>
      <c r="L251" s="46"/>
      <c r="M251" s="46"/>
      <c r="N251" s="46"/>
      <c r="O251" s="46"/>
      <c r="P251" s="46"/>
    </row>
    <row r="252" spans="1:16" ht="18.75" hidden="1" x14ac:dyDescent="0.25">
      <c r="A252" s="148"/>
      <c r="B252" s="149"/>
      <c r="C252" s="149"/>
      <c r="D252" s="149"/>
      <c r="E252" s="270" t="s">
        <v>105</v>
      </c>
      <c r="F252" s="155"/>
      <c r="G252" s="153"/>
      <c r="H252" s="268" t="s">
        <v>54</v>
      </c>
      <c r="I252" s="200">
        <v>0</v>
      </c>
      <c r="J252" s="201">
        <v>0</v>
      </c>
      <c r="K252" s="50">
        <f>IF(I252&gt;0,J252*100/I252,0)</f>
        <v>0</v>
      </c>
      <c r="L252" s="46"/>
      <c r="M252" s="46"/>
      <c r="N252" s="46"/>
      <c r="O252" s="46"/>
      <c r="P252" s="46"/>
    </row>
    <row r="253" spans="1:16" ht="19.5" hidden="1" x14ac:dyDescent="0.3">
      <c r="A253" s="233"/>
      <c r="B253" s="234"/>
      <c r="C253" s="256" t="s">
        <v>107</v>
      </c>
      <c r="D253" s="236"/>
      <c r="E253" s="236"/>
      <c r="F253" s="236"/>
      <c r="G253" s="237"/>
      <c r="H253" s="257" t="s">
        <v>33</v>
      </c>
      <c r="I253" s="258">
        <f ca="1">I260</f>
        <v>0</v>
      </c>
      <c r="J253" s="258">
        <f>J260</f>
        <v>0</v>
      </c>
      <c r="K253" s="259">
        <f ca="1">IF(I253&gt;0,J253*100/I253,0)</f>
        <v>0</v>
      </c>
      <c r="L253" s="241"/>
      <c r="M253" s="241"/>
      <c r="N253" s="241"/>
      <c r="O253" s="241"/>
      <c r="P253" s="241"/>
    </row>
    <row r="254" spans="1:16" ht="19.5" hidden="1" x14ac:dyDescent="0.3">
      <c r="A254" s="136"/>
      <c r="B254" s="41"/>
      <c r="C254" s="260" t="s">
        <v>16</v>
      </c>
      <c r="D254" s="399" t="s">
        <v>17</v>
      </c>
      <c r="E254" s="41"/>
      <c r="F254" s="41"/>
      <c r="G254" s="43"/>
      <c r="H254" s="262" t="s">
        <v>12</v>
      </c>
      <c r="I254" s="144"/>
      <c r="J254" s="144"/>
      <c r="K254" s="145"/>
      <c r="L254" s="263">
        <f ca="1">L255+L256+L257+L258</f>
        <v>0</v>
      </c>
      <c r="M254" s="46"/>
      <c r="N254" s="263">
        <f>N255+N256+N257+N258</f>
        <v>0</v>
      </c>
      <c r="O254" s="263">
        <f ca="1">IF(L254&gt;0,N254*100/L254,0)</f>
        <v>0</v>
      </c>
      <c r="P254" s="263">
        <f>IF(M254&gt;0,N254*100/M254,0)</f>
        <v>0</v>
      </c>
    </row>
    <row r="255" spans="1:16" ht="18.75" hidden="1" x14ac:dyDescent="0.25">
      <c r="A255" s="136"/>
      <c r="B255" s="228"/>
      <c r="C255" s="41"/>
      <c r="D255" s="279" t="s">
        <v>80</v>
      </c>
      <c r="E255" s="41"/>
      <c r="F255" s="41"/>
      <c r="G255" s="43"/>
      <c r="H255" s="146" t="s">
        <v>12</v>
      </c>
      <c r="I255" s="144"/>
      <c r="J255" s="144"/>
      <c r="K255" s="145"/>
      <c r="L255" s="50">
        <f ca="1">IFERROR(__xludf.DUMMYFUNCTION("IMPORTRANGE(""https://docs.google.com/spreadsheets/d/1eHaY18a8A9IcSdp1K8H6x8fbOy06t2VsZHhMHf-1x7Y/edit?usp=sharing"",""แผน!BB29"")"),0)</f>
        <v>0</v>
      </c>
      <c r="M255" s="46"/>
      <c r="N255" s="264">
        <v>0</v>
      </c>
      <c r="O255" s="46"/>
      <c r="P255" s="46"/>
    </row>
    <row r="256" spans="1:16" ht="18.75" hidden="1" x14ac:dyDescent="0.25">
      <c r="A256" s="227"/>
      <c r="B256" s="228"/>
      <c r="C256" s="228"/>
      <c r="D256" s="279" t="s">
        <v>82</v>
      </c>
      <c r="E256" s="41"/>
      <c r="F256" s="41"/>
      <c r="G256" s="43"/>
      <c r="H256" s="146" t="s">
        <v>12</v>
      </c>
      <c r="I256" s="45"/>
      <c r="J256" s="45"/>
      <c r="K256" s="46"/>
      <c r="L256" s="50">
        <f ca="1">IFERROR(__xludf.DUMMYFUNCTION("IMPORTRANGE(""https://docs.google.com/spreadsheets/d/1eHaY18a8A9IcSdp1K8H6x8fbOy06t2VsZHhMHf-1x7Y/edit?usp=sharing"",""แผน!BC29"")"),0)</f>
        <v>0</v>
      </c>
      <c r="M256" s="46"/>
      <c r="N256" s="264">
        <v>0</v>
      </c>
      <c r="O256" s="46"/>
      <c r="P256" s="46"/>
    </row>
    <row r="257" spans="1:16" ht="18.75" hidden="1" x14ac:dyDescent="0.25">
      <c r="A257" s="227"/>
      <c r="B257" s="228"/>
      <c r="C257" s="228"/>
      <c r="D257" s="279" t="s">
        <v>101</v>
      </c>
      <c r="E257" s="41"/>
      <c r="F257" s="41"/>
      <c r="G257" s="43"/>
      <c r="H257" s="146" t="s">
        <v>12</v>
      </c>
      <c r="I257" s="45"/>
      <c r="J257" s="45"/>
      <c r="K257" s="46"/>
      <c r="L257" s="50">
        <f ca="1">IFERROR(__xludf.DUMMYFUNCTION("IMPORTRANGE(""https://docs.google.com/spreadsheets/d/1eHaY18a8A9IcSdp1K8H6x8fbOy06t2VsZHhMHf-1x7Y/edit?usp=sharing"",""แผน!BD29"")"),0)</f>
        <v>0</v>
      </c>
      <c r="M257" s="46"/>
      <c r="N257" s="264">
        <v>0</v>
      </c>
      <c r="O257" s="46"/>
      <c r="P257" s="46"/>
    </row>
    <row r="258" spans="1:16" ht="18.75" hidden="1" x14ac:dyDescent="0.25">
      <c r="A258" s="227"/>
      <c r="B258" s="228"/>
      <c r="C258" s="228"/>
      <c r="D258" s="279" t="s">
        <v>102</v>
      </c>
      <c r="E258" s="41"/>
      <c r="F258" s="41"/>
      <c r="G258" s="43"/>
      <c r="H258" s="146" t="s">
        <v>12</v>
      </c>
      <c r="I258" s="45"/>
      <c r="J258" s="45"/>
      <c r="K258" s="46"/>
      <c r="L258" s="50">
        <f ca="1">IFERROR(__xludf.DUMMYFUNCTION("IMPORTRANGE(""https://docs.google.com/spreadsheets/d/1eHaY18a8A9IcSdp1K8H6x8fbOy06t2VsZHhMHf-1x7Y/edit?usp=sharing"",""แผน!BE29"")"),0)</f>
        <v>0</v>
      </c>
      <c r="M258" s="46"/>
      <c r="N258" s="264">
        <v>0</v>
      </c>
      <c r="O258" s="46"/>
      <c r="P258" s="46"/>
    </row>
    <row r="259" spans="1:16" ht="19.5" hidden="1" x14ac:dyDescent="0.3">
      <c r="A259" s="148"/>
      <c r="B259" s="149"/>
      <c r="C259" s="265" t="s">
        <v>16</v>
      </c>
      <c r="D259" s="394" t="s">
        <v>36</v>
      </c>
      <c r="E259" s="151"/>
      <c r="F259" s="151"/>
      <c r="G259" s="152"/>
      <c r="H259" s="153"/>
      <c r="I259" s="144"/>
      <c r="J259" s="45"/>
      <c r="K259" s="46"/>
      <c r="L259" s="46"/>
      <c r="M259" s="46"/>
      <c r="N259" s="46"/>
      <c r="O259" s="145"/>
      <c r="P259" s="145"/>
    </row>
    <row r="260" spans="1:16" ht="18.75" hidden="1" x14ac:dyDescent="0.25">
      <c r="A260" s="148"/>
      <c r="B260" s="149"/>
      <c r="C260" s="149"/>
      <c r="D260" s="267" t="s">
        <v>103</v>
      </c>
      <c r="E260" s="155"/>
      <c r="F260" s="155"/>
      <c r="G260" s="153"/>
      <c r="H260" s="268" t="s">
        <v>33</v>
      </c>
      <c r="I260" s="200">
        <f ca="1">IFERROR(__xludf.DUMMYFUNCTION("IMPORTRANGE(""https://docs.google.com/spreadsheets/d/1eHaY18a8A9IcSdp1K8H6x8fbOy06t2VsZHhMHf-1x7Y/edit?usp=sharing"",""แผน!BH29"")"),0)</f>
        <v>0</v>
      </c>
      <c r="J260" s="201">
        <v>0</v>
      </c>
      <c r="K260" s="50">
        <f ca="1">IF(I260&gt;0,J260*100/I260,0)</f>
        <v>0</v>
      </c>
      <c r="L260" s="46"/>
      <c r="M260" s="46"/>
      <c r="N260" s="46"/>
      <c r="O260" s="46"/>
      <c r="P260" s="46"/>
    </row>
    <row r="261" spans="1:16" ht="18.75" hidden="1" x14ac:dyDescent="0.25">
      <c r="A261" s="148"/>
      <c r="B261" s="149"/>
      <c r="C261" s="149"/>
      <c r="D261" s="269" t="s">
        <v>41</v>
      </c>
      <c r="E261" s="155"/>
      <c r="F261" s="155"/>
      <c r="G261" s="153"/>
      <c r="H261" s="153"/>
      <c r="I261" s="45"/>
      <c r="J261" s="45"/>
      <c r="K261" s="46"/>
      <c r="L261" s="46"/>
      <c r="M261" s="46"/>
      <c r="N261" s="46"/>
      <c r="O261" s="145"/>
      <c r="P261" s="145"/>
    </row>
    <row r="262" spans="1:16" ht="18.75" hidden="1" x14ac:dyDescent="0.25">
      <c r="A262" s="148"/>
      <c r="B262" s="149"/>
      <c r="C262" s="149"/>
      <c r="D262" s="149"/>
      <c r="E262" s="270" t="s">
        <v>104</v>
      </c>
      <c r="F262" s="155"/>
      <c r="G262" s="153"/>
      <c r="H262" s="268" t="s">
        <v>33</v>
      </c>
      <c r="I262" s="45"/>
      <c r="J262" s="201">
        <v>0</v>
      </c>
      <c r="K262" s="50">
        <f>IF(I262&gt;0,J262*100/I262,0)</f>
        <v>0</v>
      </c>
      <c r="L262" s="46"/>
      <c r="M262" s="46"/>
      <c r="N262" s="46"/>
      <c r="O262" s="46"/>
      <c r="P262" s="46"/>
    </row>
    <row r="263" spans="1:16" ht="18.75" hidden="1" x14ac:dyDescent="0.25">
      <c r="A263" s="148"/>
      <c r="B263" s="149"/>
      <c r="C263" s="149"/>
      <c r="D263" s="149"/>
      <c r="E263" s="270" t="s">
        <v>105</v>
      </c>
      <c r="F263" s="155"/>
      <c r="G263" s="153"/>
      <c r="H263" s="268" t="s">
        <v>54</v>
      </c>
      <c r="I263" s="45"/>
      <c r="J263" s="201">
        <v>0</v>
      </c>
      <c r="K263" s="50">
        <f>IF(I263&gt;0,J263*100/I263,0)</f>
        <v>0</v>
      </c>
      <c r="L263" s="46"/>
      <c r="M263" s="46"/>
      <c r="N263" s="46"/>
      <c r="O263" s="46"/>
      <c r="P263" s="46"/>
    </row>
    <row r="264" spans="1:16" ht="19.5" hidden="1" x14ac:dyDescent="0.3">
      <c r="A264" s="272" t="s">
        <v>108</v>
      </c>
      <c r="B264" s="215"/>
      <c r="C264" s="215"/>
      <c r="D264" s="216"/>
      <c r="E264" s="216"/>
      <c r="F264" s="216"/>
      <c r="G264" s="217"/>
      <c r="H264" s="217"/>
      <c r="I264" s="218"/>
      <c r="J264" s="218"/>
      <c r="K264" s="219"/>
      <c r="L264" s="219"/>
      <c r="M264" s="219"/>
      <c r="N264" s="219"/>
      <c r="O264" s="219"/>
      <c r="P264" s="219"/>
    </row>
    <row r="265" spans="1:16" ht="19.5" hidden="1" x14ac:dyDescent="0.3">
      <c r="A265" s="220"/>
      <c r="B265" s="273" t="s">
        <v>109</v>
      </c>
      <c r="C265" s="222"/>
      <c r="D265" s="151"/>
      <c r="E265" s="151"/>
      <c r="F265" s="151"/>
      <c r="G265" s="152"/>
      <c r="H265" s="274" t="s">
        <v>33</v>
      </c>
      <c r="I265" s="275">
        <f>I276</f>
        <v>0</v>
      </c>
      <c r="J265" s="275">
        <f>J276</f>
        <v>0</v>
      </c>
      <c r="K265" s="276">
        <f>IF(I265&gt;0,J265*100/I265,0)</f>
        <v>0</v>
      </c>
      <c r="L265" s="226"/>
      <c r="M265" s="226"/>
      <c r="N265" s="226"/>
      <c r="O265" s="226"/>
      <c r="P265" s="226"/>
    </row>
    <row r="266" spans="1:16" ht="19.5" hidden="1" x14ac:dyDescent="0.3">
      <c r="A266" s="136"/>
      <c r="B266" s="41"/>
      <c r="C266" s="260" t="s">
        <v>16</v>
      </c>
      <c r="D266" s="261" t="s">
        <v>17</v>
      </c>
      <c r="E266" s="41"/>
      <c r="F266" s="41"/>
      <c r="G266" s="43"/>
      <c r="H266" s="277" t="s">
        <v>12</v>
      </c>
      <c r="I266" s="45"/>
      <c r="J266" s="45"/>
      <c r="K266" s="46"/>
      <c r="L266" s="263">
        <f ca="1">L267+L268</f>
        <v>0</v>
      </c>
      <c r="M266" s="263">
        <f ca="1">M267+M268</f>
        <v>0</v>
      </c>
      <c r="N266" s="263">
        <f ca="1">N267+N268</f>
        <v>0</v>
      </c>
      <c r="O266" s="263">
        <f ca="1">IF(L266&gt;0,N266*100/L266,0)</f>
        <v>0</v>
      </c>
      <c r="P266" s="263">
        <f ca="1">IF(M266&gt;0,N266*100/M266,0)</f>
        <v>0</v>
      </c>
    </row>
    <row r="267" spans="1:16" ht="18.75" hidden="1" x14ac:dyDescent="0.25">
      <c r="A267" s="136"/>
      <c r="B267" s="41"/>
      <c r="C267" s="41"/>
      <c r="D267" s="41"/>
      <c r="E267" s="279" t="s">
        <v>18</v>
      </c>
      <c r="F267" s="41"/>
      <c r="G267" s="43"/>
      <c r="H267" s="141" t="s">
        <v>12</v>
      </c>
      <c r="I267" s="45"/>
      <c r="J267" s="45"/>
      <c r="K267" s="46"/>
      <c r="L267" s="50">
        <f>L270+L273</f>
        <v>0</v>
      </c>
      <c r="M267" s="50">
        <f>M270+M273</f>
        <v>0</v>
      </c>
      <c r="N267" s="50">
        <f>N270+N273</f>
        <v>0</v>
      </c>
      <c r="O267" s="50">
        <f>IF(L267&gt;0,N267*100/L267,0)</f>
        <v>0</v>
      </c>
      <c r="P267" s="50">
        <f>IF(M267&gt;0,N267*100/M267,0)</f>
        <v>0</v>
      </c>
    </row>
    <row r="268" spans="1:16" ht="18.75" hidden="1" x14ac:dyDescent="0.25">
      <c r="A268" s="136"/>
      <c r="B268" s="41"/>
      <c r="C268" s="41"/>
      <c r="D268" s="41"/>
      <c r="E268" s="279" t="s">
        <v>19</v>
      </c>
      <c r="F268" s="41"/>
      <c r="G268" s="43"/>
      <c r="H268" s="141" t="s">
        <v>12</v>
      </c>
      <c r="I268" s="45"/>
      <c r="J268" s="45"/>
      <c r="K268" s="46"/>
      <c r="L268" s="50">
        <f ca="1">L271+L274</f>
        <v>0</v>
      </c>
      <c r="M268" s="50">
        <f ca="1">M271+M274</f>
        <v>0</v>
      </c>
      <c r="N268" s="50">
        <f ca="1">N271+N274</f>
        <v>0</v>
      </c>
      <c r="O268" s="50">
        <f ca="1">IF(L268&gt;0,N268*100/L268,0)</f>
        <v>0</v>
      </c>
      <c r="P268" s="50">
        <f ca="1">IF(M268&gt;0,N268*100/M268,0)</f>
        <v>0</v>
      </c>
    </row>
    <row r="269" spans="1:16" ht="18.75" hidden="1" x14ac:dyDescent="0.25">
      <c r="A269" s="136"/>
      <c r="B269" s="41"/>
      <c r="C269" s="41"/>
      <c r="D269" s="278" t="s">
        <v>20</v>
      </c>
      <c r="E269" s="41"/>
      <c r="F269" s="41"/>
      <c r="G269" s="43"/>
      <c r="H269" s="146" t="s">
        <v>12</v>
      </c>
      <c r="I269" s="144"/>
      <c r="J269" s="144"/>
      <c r="K269" s="145"/>
      <c r="L269" s="50">
        <f ca="1">L270+L271</f>
        <v>0</v>
      </c>
      <c r="M269" s="50">
        <f ca="1">M270+M271</f>
        <v>0</v>
      </c>
      <c r="N269" s="50">
        <f ca="1">N270+N271</f>
        <v>0</v>
      </c>
      <c r="O269" s="50">
        <f ca="1">IF(L269&gt;0,N269*100/L269,0)</f>
        <v>0</v>
      </c>
      <c r="P269" s="50">
        <f ca="1">IF(M269&gt;0,N269*100/M269,0)</f>
        <v>0</v>
      </c>
    </row>
    <row r="270" spans="1:16" ht="18.75" hidden="1" x14ac:dyDescent="0.25">
      <c r="A270" s="136"/>
      <c r="B270" s="41"/>
      <c r="C270" s="41"/>
      <c r="D270" s="41"/>
      <c r="E270" s="279" t="s">
        <v>34</v>
      </c>
      <c r="F270" s="41"/>
      <c r="G270" s="43"/>
      <c r="H270" s="146" t="s">
        <v>12</v>
      </c>
      <c r="I270" s="144"/>
      <c r="J270" s="144"/>
      <c r="K270" s="145"/>
      <c r="L270" s="50">
        <v>0</v>
      </c>
      <c r="M270" s="50">
        <v>0</v>
      </c>
      <c r="N270" s="50">
        <v>0</v>
      </c>
      <c r="O270" s="50">
        <f>IF(L270&gt;0,N270*100/L270,0)</f>
        <v>0</v>
      </c>
      <c r="P270" s="50">
        <f>IF(M270&gt;0,N270*100/M270,0)</f>
        <v>0</v>
      </c>
    </row>
    <row r="271" spans="1:16" ht="18.75" hidden="1" x14ac:dyDescent="0.25">
      <c r="A271" s="136"/>
      <c r="B271" s="41"/>
      <c r="C271" s="41"/>
      <c r="D271" s="41"/>
      <c r="E271" s="279" t="s">
        <v>35</v>
      </c>
      <c r="F271" s="41"/>
      <c r="G271" s="43"/>
      <c r="H271" s="146" t="s">
        <v>12</v>
      </c>
      <c r="I271" s="144"/>
      <c r="J271" s="144"/>
      <c r="K271" s="145"/>
      <c r="L271" s="50">
        <f ca="1">IFERROR(__xludf.DUMMYFUNCTION("IMPORTRANGE(""https://docs.google.com/spreadsheets/d/1-uDff_7J0KD5mKrp0Vvzr7lt3OU09vwQwhkpOPPYv2Y/edit?usp=sharing"",""งบพรบ!DE29"")"),0)</f>
        <v>0</v>
      </c>
      <c r="M271" s="50">
        <f ca="1">IFERROR(__xludf.DUMMYFUNCTION("IMPORTRANGE(""https://docs.google.com/spreadsheets/d/1-uDff_7J0KD5mKrp0Vvzr7lt3OU09vwQwhkpOPPYv2Y/edit?usp=sharing"",""งบพรบ!DJ29"")"),0)</f>
        <v>0</v>
      </c>
      <c r="N271" s="50">
        <f ca="1">IFERROR(__xludf.DUMMYFUNCTION("IMPORTRANGE(""https://docs.google.com/spreadsheets/d/1-uDff_7J0KD5mKrp0Vvzr7lt3OU09vwQwhkpOPPYv2Y/edit?usp=sharing"",""งบพรบ!DL29"")"),0)</f>
        <v>0</v>
      </c>
      <c r="O271" s="50">
        <f ca="1">IF(L271&gt;0,N271*100/L271,0)</f>
        <v>0</v>
      </c>
      <c r="P271" s="50">
        <f ca="1">IF(M271&gt;0,N271*100/M271,0)</f>
        <v>0</v>
      </c>
    </row>
    <row r="272" spans="1:16" ht="18.75" hidden="1" x14ac:dyDescent="0.25">
      <c r="A272" s="136"/>
      <c r="B272" s="41"/>
      <c r="C272" s="41"/>
      <c r="D272" s="278" t="s">
        <v>21</v>
      </c>
      <c r="E272" s="41"/>
      <c r="F272" s="41"/>
      <c r="G272" s="43"/>
      <c r="H272" s="199" t="s">
        <v>12</v>
      </c>
      <c r="I272" s="144"/>
      <c r="J272" s="144"/>
      <c r="K272" s="145"/>
      <c r="L272" s="50">
        <f ca="1">L273+L274</f>
        <v>0</v>
      </c>
      <c r="M272" s="50">
        <f ca="1">M273+M274</f>
        <v>0</v>
      </c>
      <c r="N272" s="50">
        <f ca="1">N273+N274</f>
        <v>0</v>
      </c>
      <c r="O272" s="50">
        <f ca="1">IF(L272&gt;0,N272*100/L272,0)</f>
        <v>0</v>
      </c>
      <c r="P272" s="50">
        <f ca="1">IF(M272&gt;0,N272*100/M272,0)</f>
        <v>0</v>
      </c>
    </row>
    <row r="273" spans="1:16" ht="18.75" hidden="1" x14ac:dyDescent="0.25">
      <c r="A273" s="136"/>
      <c r="B273" s="41"/>
      <c r="C273" s="41"/>
      <c r="D273" s="41"/>
      <c r="E273" s="279" t="s">
        <v>18</v>
      </c>
      <c r="F273" s="41"/>
      <c r="G273" s="43"/>
      <c r="H273" s="146" t="s">
        <v>12</v>
      </c>
      <c r="I273" s="144"/>
      <c r="J273" s="144"/>
      <c r="K273" s="145"/>
      <c r="L273" s="50">
        <v>0</v>
      </c>
      <c r="M273" s="50">
        <v>0</v>
      </c>
      <c r="N273" s="50">
        <v>0</v>
      </c>
      <c r="O273" s="50">
        <f>IF(L273&gt;0,N273*100/L273,0)</f>
        <v>0</v>
      </c>
      <c r="P273" s="50">
        <f>IF(M273&gt;0,N273*100/M273,0)</f>
        <v>0</v>
      </c>
    </row>
    <row r="274" spans="1:16" ht="18.75" hidden="1" x14ac:dyDescent="0.25">
      <c r="A274" s="136"/>
      <c r="B274" s="41"/>
      <c r="C274" s="41"/>
      <c r="D274" s="41"/>
      <c r="E274" s="279" t="s">
        <v>19</v>
      </c>
      <c r="F274" s="41"/>
      <c r="G274" s="43"/>
      <c r="H274" s="199" t="s">
        <v>12</v>
      </c>
      <c r="I274" s="144"/>
      <c r="J274" s="144"/>
      <c r="K274" s="145"/>
      <c r="L274" s="50">
        <f ca="1">IFERROR(__xludf.DUMMYFUNCTION("IMPORTRANGE(""https://docs.google.com/spreadsheets/d/1-uDff_7J0KD5mKrp0Vvzr7lt3OU09vwQwhkpOPPYv2Y/edit?usp=sharing"",""งบพรบ!DH29"")"),0)</f>
        <v>0</v>
      </c>
      <c r="M274" s="50">
        <f ca="1">IFERROR(__xludf.DUMMYFUNCTION("IMPORTRANGE(""https://docs.google.com/spreadsheets/d/1-uDff_7J0KD5mKrp0Vvzr7lt3OU09vwQwhkpOPPYv2Y/edit?usp=sharing"",""งบพรบ!DK29"")"),0)</f>
        <v>0</v>
      </c>
      <c r="N274" s="50">
        <f ca="1">IFERROR(__xludf.DUMMYFUNCTION("IMPORTRANGE(""https://docs.google.com/spreadsheets/d/1-uDff_7J0KD5mKrp0Vvzr7lt3OU09vwQwhkpOPPYv2Y/edit?usp=sharing"",""งบพรบ!DM29"")"),0)</f>
        <v>0</v>
      </c>
      <c r="O274" s="50">
        <f ca="1">IF(L274&gt;0,N274*100/L274,0)</f>
        <v>0</v>
      </c>
      <c r="P274" s="50">
        <f ca="1">IF(M274&gt;0,N274*100/M274,0)</f>
        <v>0</v>
      </c>
    </row>
    <row r="275" spans="1:16" ht="19.5" hidden="1" x14ac:dyDescent="0.3">
      <c r="A275" s="148"/>
      <c r="B275" s="149"/>
      <c r="C275" s="279" t="s">
        <v>16</v>
      </c>
      <c r="D275" s="394" t="s">
        <v>36</v>
      </c>
      <c r="E275" s="151"/>
      <c r="F275" s="151"/>
      <c r="G275" s="152"/>
      <c r="H275" s="153"/>
      <c r="I275" s="144"/>
      <c r="J275" s="144"/>
      <c r="K275" s="145"/>
      <c r="L275" s="145"/>
      <c r="M275" s="145"/>
      <c r="N275" s="145"/>
      <c r="O275" s="145"/>
      <c r="P275" s="145"/>
    </row>
    <row r="276" spans="1:16" ht="12.75" hidden="1" x14ac:dyDescent="0.2">
      <c r="A276" s="165"/>
      <c r="B276" s="166"/>
      <c r="C276" s="166"/>
      <c r="D276" s="16"/>
      <c r="E276" s="16"/>
      <c r="F276" s="16"/>
      <c r="G276" s="17"/>
      <c r="H276" s="17"/>
      <c r="I276" s="18"/>
      <c r="J276" s="18"/>
      <c r="K276" s="19"/>
      <c r="L276" s="19"/>
      <c r="M276" s="19"/>
      <c r="N276" s="19"/>
      <c r="O276" s="19"/>
      <c r="P276" s="19"/>
    </row>
    <row r="277" spans="1:16" ht="18.75" hidden="1" x14ac:dyDescent="0.25">
      <c r="A277" s="280"/>
      <c r="B277" s="281"/>
      <c r="C277" s="281"/>
      <c r="D277" s="282" t="s">
        <v>110</v>
      </c>
      <c r="E277" s="283"/>
      <c r="F277" s="283"/>
      <c r="G277" s="284"/>
      <c r="H277" s="285" t="s">
        <v>33</v>
      </c>
      <c r="I277" s="205">
        <v>0</v>
      </c>
      <c r="J277" s="205">
        <v>0</v>
      </c>
      <c r="K277" s="286">
        <v>0</v>
      </c>
      <c r="L277" s="287"/>
      <c r="M277" s="287"/>
      <c r="N277" s="287"/>
      <c r="O277" s="287"/>
      <c r="P277" s="287"/>
    </row>
    <row r="278" spans="1:16" ht="19.5" x14ac:dyDescent="0.3">
      <c r="A278" s="288" t="s">
        <v>111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</row>
    <row r="279" spans="1:16" ht="19.5" x14ac:dyDescent="0.3">
      <c r="A279" s="294" t="s">
        <v>112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299"/>
      <c r="M279" s="299"/>
      <c r="N279" s="299"/>
      <c r="O279" s="299"/>
      <c r="P279" s="299"/>
    </row>
    <row r="280" spans="1:16" ht="19.5" x14ac:dyDescent="0.3">
      <c r="A280" s="300"/>
      <c r="B280" s="301" t="s">
        <v>113</v>
      </c>
      <c r="C280" s="302"/>
      <c r="D280" s="303"/>
      <c r="E280" s="302"/>
      <c r="F280" s="302"/>
      <c r="G280" s="304"/>
      <c r="H280" s="305" t="s">
        <v>33</v>
      </c>
      <c r="I280" s="306">
        <f ca="1">I293</f>
        <v>20</v>
      </c>
      <c r="J280" s="306">
        <f>J293</f>
        <v>0</v>
      </c>
      <c r="K280" s="307">
        <f ca="1">IF(I280&gt;0,J280*100/I280,0)</f>
        <v>0</v>
      </c>
      <c r="L280" s="308"/>
      <c r="M280" s="308"/>
      <c r="N280" s="308"/>
      <c r="O280" s="308"/>
      <c r="P280" s="308"/>
    </row>
    <row r="281" spans="1:16" ht="19.5" x14ac:dyDescent="0.3">
      <c r="A281" s="300"/>
      <c r="B281" s="302"/>
      <c r="C281" s="302"/>
      <c r="D281" s="303"/>
      <c r="E281" s="302"/>
      <c r="F281" s="302"/>
      <c r="G281" s="304"/>
      <c r="H281" s="305" t="s">
        <v>44</v>
      </c>
      <c r="I281" s="306">
        <f ca="1">I292</f>
        <v>200</v>
      </c>
      <c r="J281" s="306">
        <f>J292</f>
        <v>0</v>
      </c>
      <c r="K281" s="307">
        <f ca="1">IF(I281&gt;0,J281*100/I281,0)</f>
        <v>0</v>
      </c>
      <c r="L281" s="308"/>
      <c r="M281" s="308"/>
      <c r="N281" s="308"/>
      <c r="O281" s="308"/>
      <c r="P281" s="308"/>
    </row>
    <row r="282" spans="1:16" ht="19.5" x14ac:dyDescent="0.3">
      <c r="A282" s="136"/>
      <c r="B282" s="41"/>
      <c r="C282" s="197" t="s">
        <v>16</v>
      </c>
      <c r="D282" s="397" t="s">
        <v>17</v>
      </c>
      <c r="E282" s="41"/>
      <c r="F282" s="41"/>
      <c r="G282" s="43"/>
      <c r="H282" s="139" t="s">
        <v>12</v>
      </c>
      <c r="I282" s="45"/>
      <c r="J282" s="45"/>
      <c r="K282" s="46"/>
      <c r="L282" s="140">
        <f ca="1">L283+L284</f>
        <v>71120</v>
      </c>
      <c r="M282" s="140">
        <f ca="1">M283+M284</f>
        <v>59480</v>
      </c>
      <c r="N282" s="140">
        <f ca="1">N283+N284</f>
        <v>0</v>
      </c>
      <c r="O282" s="140">
        <f ca="1">IF(L282&gt;0,N282*100/L282,0)</f>
        <v>0</v>
      </c>
      <c r="P282" s="140">
        <f ca="1">IF(M282&gt;0,N282*100/M282,0)</f>
        <v>0</v>
      </c>
    </row>
    <row r="283" spans="1:16" ht="18.75" hidden="1" x14ac:dyDescent="0.25">
      <c r="A283" s="136"/>
      <c r="B283" s="41"/>
      <c r="C283" s="41"/>
      <c r="D283" s="41"/>
      <c r="E283" s="279" t="s">
        <v>18</v>
      </c>
      <c r="F283" s="41"/>
      <c r="G283" s="43"/>
      <c r="H283" s="141" t="s">
        <v>12</v>
      </c>
      <c r="I283" s="45"/>
      <c r="J283" s="45"/>
      <c r="K283" s="46"/>
      <c r="L283" s="50">
        <f>L286+L289</f>
        <v>0</v>
      </c>
      <c r="M283" s="50">
        <f>M286+M289</f>
        <v>0</v>
      </c>
      <c r="N283" s="50">
        <f>N286+N289</f>
        <v>0</v>
      </c>
      <c r="O283" s="50">
        <f>IF(L283&gt;0,N283*100/L283,0)</f>
        <v>0</v>
      </c>
      <c r="P283" s="50">
        <f>IF(M283&gt;0,N283*100/M283,0)</f>
        <v>0</v>
      </c>
    </row>
    <row r="284" spans="1:16" ht="18.75" x14ac:dyDescent="0.25">
      <c r="A284" s="136"/>
      <c r="B284" s="41"/>
      <c r="C284" s="41"/>
      <c r="D284" s="41"/>
      <c r="E284" s="254" t="s">
        <v>19</v>
      </c>
      <c r="F284" s="41"/>
      <c r="G284" s="43"/>
      <c r="H284" s="142" t="s">
        <v>12</v>
      </c>
      <c r="I284" s="45"/>
      <c r="J284" s="45"/>
      <c r="K284" s="46"/>
      <c r="L284" s="47">
        <f ca="1">L287+L290</f>
        <v>71120</v>
      </c>
      <c r="M284" s="47">
        <f ca="1">M287+M290</f>
        <v>59480</v>
      </c>
      <c r="N284" s="47">
        <f ca="1">N287+N290</f>
        <v>0</v>
      </c>
      <c r="O284" s="47">
        <f ca="1">IF(L284&gt;0,N284*100/L284,0)</f>
        <v>0</v>
      </c>
      <c r="P284" s="47">
        <f ca="1">IF(M284&gt;0,N284*100/M284,0)</f>
        <v>0</v>
      </c>
    </row>
    <row r="285" spans="1:16" ht="18.75" x14ac:dyDescent="0.25">
      <c r="A285" s="136"/>
      <c r="B285" s="41"/>
      <c r="C285" s="41"/>
      <c r="D285" s="42" t="s">
        <v>20</v>
      </c>
      <c r="E285" s="41"/>
      <c r="F285" s="41"/>
      <c r="G285" s="43"/>
      <c r="H285" s="143" t="s">
        <v>12</v>
      </c>
      <c r="I285" s="144"/>
      <c r="J285" s="144"/>
      <c r="K285" s="145"/>
      <c r="L285" s="47">
        <f ca="1">L286+L287</f>
        <v>71120</v>
      </c>
      <c r="M285" s="47">
        <f ca="1">M286+M287</f>
        <v>59480</v>
      </c>
      <c r="N285" s="47">
        <f ca="1">N286+N287</f>
        <v>0</v>
      </c>
      <c r="O285" s="47">
        <f ca="1">IF(L285&gt;0,N285*100/L285,0)</f>
        <v>0</v>
      </c>
      <c r="P285" s="47">
        <f ca="1">IF(M285&gt;0,N285*100/M285,0)</f>
        <v>0</v>
      </c>
    </row>
    <row r="286" spans="1:16" ht="18.75" hidden="1" x14ac:dyDescent="0.25">
      <c r="A286" s="136"/>
      <c r="B286" s="41"/>
      <c r="C286" s="41"/>
      <c r="D286" s="41"/>
      <c r="E286" s="279" t="s">
        <v>34</v>
      </c>
      <c r="F286" s="41"/>
      <c r="G286" s="43"/>
      <c r="H286" s="146" t="s">
        <v>12</v>
      </c>
      <c r="I286" s="144"/>
      <c r="J286" s="144"/>
      <c r="K286" s="145"/>
      <c r="L286" s="50">
        <v>0</v>
      </c>
      <c r="M286" s="50">
        <v>0</v>
      </c>
      <c r="N286" s="50">
        <v>0</v>
      </c>
      <c r="O286" s="50">
        <f>IF(L286&gt;0,N286*100/L286,0)</f>
        <v>0</v>
      </c>
      <c r="P286" s="50">
        <f>IF(M286&gt;0,N286*100/M286,0)</f>
        <v>0</v>
      </c>
    </row>
    <row r="287" spans="1:16" ht="18.75" x14ac:dyDescent="0.25">
      <c r="A287" s="136"/>
      <c r="B287" s="41"/>
      <c r="C287" s="41"/>
      <c r="D287" s="41"/>
      <c r="E287" s="254" t="s">
        <v>35</v>
      </c>
      <c r="F287" s="41"/>
      <c r="G287" s="43"/>
      <c r="H287" s="143" t="s">
        <v>12</v>
      </c>
      <c r="I287" s="144"/>
      <c r="J287" s="144"/>
      <c r="K287" s="145"/>
      <c r="L287" s="47">
        <f ca="1">IFERROR(__xludf.DUMMYFUNCTION("IMPORTRANGE(""https://docs.google.com/spreadsheets/d/1-uDff_7J0KD5mKrp0Vvzr7lt3OU09vwQwhkpOPPYv2Y/edit?usp=sharing"",""งบพรบ!DO29"")"),71120)</f>
        <v>71120</v>
      </c>
      <c r="M287" s="47">
        <f ca="1">IFERROR(__xludf.DUMMYFUNCTION("IMPORTRANGE(""https://docs.google.com/spreadsheets/d/1-uDff_7J0KD5mKrp0Vvzr7lt3OU09vwQwhkpOPPYv2Y/edit?usp=sharing"",""งบพรบ!DT29"")"),59480)</f>
        <v>59480</v>
      </c>
      <c r="N287" s="47">
        <f ca="1">IFERROR(__xludf.DUMMYFUNCTION("IMPORTRANGE(""https://docs.google.com/spreadsheets/d/1-uDff_7J0KD5mKrp0Vvzr7lt3OU09vwQwhkpOPPYv2Y/edit?usp=sharing"",""งบพรบ!DV29"")"),0)</f>
        <v>0</v>
      </c>
      <c r="O287" s="47">
        <f ca="1">IF(L287&gt;0,N287*100/L287,0)</f>
        <v>0</v>
      </c>
      <c r="P287" s="47">
        <f ca="1">IF(M287&gt;0,N287*100/M287,0)</f>
        <v>0</v>
      </c>
    </row>
    <row r="288" spans="1:16" ht="18.75" x14ac:dyDescent="0.25">
      <c r="A288" s="136"/>
      <c r="B288" s="41"/>
      <c r="C288" s="41"/>
      <c r="D288" s="42" t="s">
        <v>21</v>
      </c>
      <c r="E288" s="41"/>
      <c r="F288" s="41"/>
      <c r="G288" s="43"/>
      <c r="H288" s="147" t="s">
        <v>12</v>
      </c>
      <c r="I288" s="144"/>
      <c r="J288" s="144"/>
      <c r="K288" s="145"/>
      <c r="L288" s="47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</row>
    <row r="289" spans="1:16" ht="18.75" hidden="1" x14ac:dyDescent="0.25">
      <c r="A289" s="136"/>
      <c r="B289" s="41"/>
      <c r="C289" s="41"/>
      <c r="D289" s="41"/>
      <c r="E289" s="279" t="s">
        <v>18</v>
      </c>
      <c r="F289" s="41"/>
      <c r="G289" s="43"/>
      <c r="H289" s="146" t="s">
        <v>12</v>
      </c>
      <c r="I289" s="144"/>
      <c r="J289" s="144"/>
      <c r="K289" s="145"/>
      <c r="L289" s="50">
        <v>0</v>
      </c>
      <c r="M289" s="50">
        <v>0</v>
      </c>
      <c r="N289" s="50">
        <v>0</v>
      </c>
      <c r="O289" s="50">
        <f>IF(L289&gt;0,N289*100/L289,0)</f>
        <v>0</v>
      </c>
      <c r="P289" s="50">
        <f>IF(M289&gt;0,N289*100/M289,0)</f>
        <v>0</v>
      </c>
    </row>
    <row r="290" spans="1:16" ht="18.75" x14ac:dyDescent="0.25">
      <c r="A290" s="136"/>
      <c r="B290" s="41"/>
      <c r="C290" s="41"/>
      <c r="D290" s="41"/>
      <c r="E290" s="254" t="s">
        <v>19</v>
      </c>
      <c r="F290" s="41"/>
      <c r="G290" s="43"/>
      <c r="H290" s="147" t="s">
        <v>12</v>
      </c>
      <c r="I290" s="144"/>
      <c r="J290" s="144"/>
      <c r="K290" s="145"/>
      <c r="L290" s="47">
        <f ca="1">IFERROR(__xludf.DUMMYFUNCTION("IMPORTRANGE(""https://docs.google.com/spreadsheets/d/1-uDff_7J0KD5mKrp0Vvzr7lt3OU09vwQwhkpOPPYv2Y/edit?usp=sharing"",""งบพรบ!DR29"")"),0)</f>
        <v>0</v>
      </c>
      <c r="M290" s="47">
        <f ca="1">IFERROR(__xludf.DUMMYFUNCTION("IMPORTRANGE(""https://docs.google.com/spreadsheets/d/1-uDff_7J0KD5mKrp0Vvzr7lt3OU09vwQwhkpOPPYv2Y/edit?usp=sharing"",""งบพรบ!DU29"")"),0)</f>
        <v>0</v>
      </c>
      <c r="N290" s="47">
        <f ca="1">IFERROR(__xludf.DUMMYFUNCTION("IMPORTRANGE(""https://docs.google.com/spreadsheets/d/1-uDff_7J0KD5mKrp0Vvzr7lt3OU09vwQwhkpOPPYv2Y/edit?usp=sharing"",""งบพรบ!DW29"")"),0)</f>
        <v>0</v>
      </c>
      <c r="O290" s="47">
        <f ca="1">IF(L290&gt;0,N290*100/L290,0)</f>
        <v>0</v>
      </c>
      <c r="P290" s="47">
        <f ca="1">IF(M290&gt;0,N290*100/M290,0)</f>
        <v>0</v>
      </c>
    </row>
    <row r="291" spans="1:16" ht="19.5" x14ac:dyDescent="0.3">
      <c r="A291" s="148"/>
      <c r="B291" s="149"/>
      <c r="C291" s="197" t="s">
        <v>16</v>
      </c>
      <c r="D291" s="395" t="s">
        <v>36</v>
      </c>
      <c r="E291" s="151"/>
      <c r="F291" s="151"/>
      <c r="G291" s="152"/>
      <c r="H291" s="153"/>
      <c r="I291" s="144"/>
      <c r="J291" s="144"/>
      <c r="K291" s="145"/>
      <c r="L291" s="145"/>
      <c r="M291" s="145"/>
      <c r="N291" s="145"/>
      <c r="O291" s="145"/>
      <c r="P291" s="145"/>
    </row>
    <row r="292" spans="1:16" ht="18.75" x14ac:dyDescent="0.25">
      <c r="A292" s="148"/>
      <c r="B292" s="149"/>
      <c r="C292" s="149"/>
      <c r="D292" s="159" t="s">
        <v>114</v>
      </c>
      <c r="E292" s="149"/>
      <c r="F292" s="155"/>
      <c r="G292" s="153"/>
      <c r="H292" s="164" t="s">
        <v>44</v>
      </c>
      <c r="I292" s="169">
        <f ca="1">IFERROR(__xludf.DUMMYFUNCTION("IMPORTRANGE(""https://docs.google.com/spreadsheets/d/1eHaY18a8A9IcSdp1K8H6x8fbOy06t2VsZHhMHf-1x7Y/edit?usp=sharing"",""แผน!EE29"")"),200)</f>
        <v>200</v>
      </c>
      <c r="J292" s="250">
        <v>0</v>
      </c>
      <c r="K292" s="163">
        <f ca="1">IF(I292&gt;0,J292*100/I292,0)</f>
        <v>0</v>
      </c>
      <c r="L292" s="145"/>
      <c r="M292" s="145"/>
      <c r="N292" s="145"/>
      <c r="O292" s="145"/>
      <c r="P292" s="145"/>
    </row>
    <row r="293" spans="1:16" ht="19.5" x14ac:dyDescent="0.3">
      <c r="A293" s="148"/>
      <c r="B293" s="149"/>
      <c r="C293" s="149"/>
      <c r="D293" s="159" t="s">
        <v>115</v>
      </c>
      <c r="E293" s="149"/>
      <c r="F293" s="155"/>
      <c r="G293" s="153"/>
      <c r="H293" s="156" t="s">
        <v>33</v>
      </c>
      <c r="I293" s="157">
        <f ca="1">IFERROR(__xludf.DUMMYFUNCTION("IMPORTRANGE(""https://docs.google.com/spreadsheets/d/1eHaY18a8A9IcSdp1K8H6x8fbOy06t2VsZHhMHf-1x7Y/edit?usp=sharing"",""แผน!ED29"")"),20)</f>
        <v>20</v>
      </c>
      <c r="J293" s="157">
        <f>J296</f>
        <v>0</v>
      </c>
      <c r="K293" s="158">
        <f ca="1">IF(I293&gt;0,J293*100/I293,0)</f>
        <v>0</v>
      </c>
      <c r="L293" s="145"/>
      <c r="M293" s="145"/>
      <c r="N293" s="145"/>
      <c r="O293" s="145"/>
      <c r="P293" s="145"/>
    </row>
    <row r="294" spans="1:16" ht="19.5" x14ac:dyDescent="0.3">
      <c r="A294" s="148"/>
      <c r="B294" s="149"/>
      <c r="C294" s="149"/>
      <c r="D294" s="155"/>
      <c r="E294" s="167" t="s">
        <v>116</v>
      </c>
      <c r="F294" s="155"/>
      <c r="G294" s="153"/>
      <c r="H294" s="153"/>
      <c r="I294" s="144"/>
      <c r="J294" s="45"/>
      <c r="K294" s="145"/>
      <c r="L294" s="145"/>
      <c r="M294" s="145"/>
      <c r="N294" s="145"/>
      <c r="O294" s="145"/>
      <c r="P294" s="145"/>
    </row>
    <row r="295" spans="1:16" ht="19.5" x14ac:dyDescent="0.3">
      <c r="A295" s="148"/>
      <c r="B295" s="149"/>
      <c r="C295" s="149"/>
      <c r="D295" s="155"/>
      <c r="E295" s="159" t="s">
        <v>117</v>
      </c>
      <c r="F295" s="155"/>
      <c r="G295" s="153"/>
      <c r="H295" s="251" t="s">
        <v>33</v>
      </c>
      <c r="I295" s="161">
        <f ca="1">IFERROR(__xludf.DUMMYFUNCTION("IMPORTRANGE(""https://docs.google.com/spreadsheets/d/1eHaY18a8A9IcSdp1K8H6x8fbOy06t2VsZHhMHf-1x7Y/edit?usp=sharing"",""แผน!ED29"")"),20)</f>
        <v>20</v>
      </c>
      <c r="J295" s="250">
        <v>0</v>
      </c>
      <c r="K295" s="163">
        <f ca="1">IF(I295&gt;0,J295*100/I295,0)</f>
        <v>0</v>
      </c>
      <c r="L295" s="145"/>
      <c r="M295" s="145"/>
      <c r="N295" s="145"/>
      <c r="O295" s="145"/>
      <c r="P295" s="145"/>
    </row>
    <row r="296" spans="1:16" ht="19.5" x14ac:dyDescent="0.3">
      <c r="A296" s="148"/>
      <c r="B296" s="149"/>
      <c r="C296" s="149"/>
      <c r="D296" s="155"/>
      <c r="E296" s="159" t="s">
        <v>118</v>
      </c>
      <c r="F296" s="155"/>
      <c r="G296" s="153"/>
      <c r="H296" s="251" t="s">
        <v>33</v>
      </c>
      <c r="I296" s="161">
        <f ca="1">IFERROR(__xludf.DUMMYFUNCTION("IMPORTRANGE(""https://docs.google.com/spreadsheets/d/1eHaY18a8A9IcSdp1K8H6x8fbOy06t2VsZHhMHf-1x7Y/edit?usp=sharing"",""แผน!ED29"")"),20)</f>
        <v>20</v>
      </c>
      <c r="J296" s="250">
        <v>0</v>
      </c>
      <c r="K296" s="163">
        <f ca="1">IF(I296&gt;0,J296*100/I296,0)</f>
        <v>0</v>
      </c>
      <c r="L296" s="145"/>
      <c r="M296" s="145"/>
      <c r="N296" s="145"/>
      <c r="O296" s="145"/>
      <c r="P296" s="145"/>
    </row>
    <row r="297" spans="1:16" ht="12.75" hidden="1" x14ac:dyDescent="0.2">
      <c r="A297" s="165"/>
      <c r="B297" s="166"/>
      <c r="C297" s="166"/>
      <c r="D297" s="16"/>
      <c r="E297" s="16"/>
      <c r="F297" s="16"/>
      <c r="G297" s="17"/>
      <c r="H297" s="17"/>
      <c r="I297" s="18"/>
      <c r="J297" s="18"/>
      <c r="K297" s="19"/>
      <c r="L297" s="19"/>
      <c r="M297" s="19"/>
      <c r="N297" s="19"/>
      <c r="O297" s="19"/>
      <c r="P297" s="19"/>
    </row>
    <row r="298" spans="1:16" ht="12.75" hidden="1" x14ac:dyDescent="0.2">
      <c r="A298" s="165"/>
      <c r="B298" s="166"/>
      <c r="C298" s="166"/>
      <c r="D298" s="16"/>
      <c r="E298" s="16"/>
      <c r="F298" s="16"/>
      <c r="G298" s="17"/>
      <c r="H298" s="17"/>
      <c r="I298" s="18"/>
      <c r="J298" s="18"/>
      <c r="K298" s="19"/>
      <c r="L298" s="19"/>
      <c r="M298" s="19"/>
      <c r="N298" s="19"/>
      <c r="O298" s="19"/>
      <c r="P298" s="19"/>
    </row>
    <row r="299" spans="1:16" ht="12.75" hidden="1" x14ac:dyDescent="0.2">
      <c r="A299" s="309"/>
      <c r="B299" s="310"/>
      <c r="C299" s="310"/>
      <c r="D299" s="21"/>
      <c r="E299" s="21"/>
      <c r="F299" s="21"/>
      <c r="G299" s="12"/>
      <c r="H299" s="12"/>
      <c r="I299" s="13"/>
      <c r="J299" s="13"/>
      <c r="K299" s="14"/>
      <c r="L299" s="14"/>
      <c r="M299" s="14"/>
      <c r="N299" s="14"/>
      <c r="O299" s="14"/>
      <c r="P299" s="14"/>
    </row>
    <row r="300" spans="1:16" ht="19.5" x14ac:dyDescent="0.3">
      <c r="A300" s="311" t="s">
        <v>119</v>
      </c>
      <c r="B300" s="312"/>
      <c r="C300" s="312"/>
      <c r="D300" s="312"/>
      <c r="E300" s="313"/>
      <c r="F300" s="313"/>
      <c r="G300" s="313"/>
      <c r="H300" s="313"/>
      <c r="I300" s="314"/>
      <c r="J300" s="314"/>
      <c r="K300" s="315"/>
      <c r="L300" s="315"/>
      <c r="M300" s="315"/>
      <c r="N300" s="315"/>
      <c r="O300" s="315"/>
      <c r="P300" s="316"/>
    </row>
    <row r="301" spans="1:16" ht="19.5" x14ac:dyDescent="0.3">
      <c r="A301" s="317" t="s">
        <v>120</v>
      </c>
      <c r="B301" s="318"/>
      <c r="C301" s="318"/>
      <c r="D301" s="319"/>
      <c r="E301" s="319"/>
      <c r="F301" s="319"/>
      <c r="G301" s="320"/>
      <c r="H301" s="320"/>
      <c r="I301" s="321"/>
      <c r="J301" s="321"/>
      <c r="K301" s="322"/>
      <c r="L301" s="322"/>
      <c r="M301" s="322"/>
      <c r="N301" s="322"/>
      <c r="O301" s="322"/>
      <c r="P301" s="322"/>
    </row>
    <row r="302" spans="1:16" ht="19.5" x14ac:dyDescent="0.3">
      <c r="A302" s="323"/>
      <c r="B302" s="324" t="s">
        <v>121</v>
      </c>
      <c r="C302" s="325"/>
      <c r="D302" s="325"/>
      <c r="E302" s="325"/>
      <c r="F302" s="325"/>
      <c r="G302" s="326"/>
      <c r="H302" s="327" t="s">
        <v>33</v>
      </c>
      <c r="I302" s="328">
        <f ca="1">I314</f>
        <v>20</v>
      </c>
      <c r="J302" s="328">
        <f>J314</f>
        <v>0</v>
      </c>
      <c r="K302" s="329">
        <f ca="1">IF(I302&gt;0,J302*100/I302,0)</f>
        <v>0</v>
      </c>
      <c r="L302" s="330"/>
      <c r="M302" s="330"/>
      <c r="N302" s="330"/>
      <c r="O302" s="330"/>
      <c r="P302" s="330"/>
    </row>
    <row r="303" spans="1:16" ht="19.5" x14ac:dyDescent="0.3">
      <c r="A303" s="136"/>
      <c r="B303" s="41"/>
      <c r="C303" s="197" t="s">
        <v>16</v>
      </c>
      <c r="D303" s="397" t="s">
        <v>17</v>
      </c>
      <c r="E303" s="41"/>
      <c r="F303" s="41"/>
      <c r="G303" s="43"/>
      <c r="H303" s="139" t="s">
        <v>12</v>
      </c>
      <c r="I303" s="45"/>
      <c r="J303" s="45"/>
      <c r="K303" s="46"/>
      <c r="L303" s="140">
        <f ca="1">L304+L305</f>
        <v>184600</v>
      </c>
      <c r="M303" s="140">
        <f ca="1">M304+M305</f>
        <v>137400</v>
      </c>
      <c r="N303" s="140">
        <f ca="1">N304+N305</f>
        <v>14600</v>
      </c>
      <c r="O303" s="140">
        <f ca="1">IF(L303&gt;0,N303*100/L303,0)</f>
        <v>7.9089924160346694</v>
      </c>
      <c r="P303" s="140">
        <f ca="1">IF(M303&gt;0,N303*100/M303,0)</f>
        <v>10.625909752547306</v>
      </c>
    </row>
    <row r="304" spans="1:16" ht="18.75" hidden="1" x14ac:dyDescent="0.25">
      <c r="A304" s="136"/>
      <c r="B304" s="41"/>
      <c r="C304" s="41"/>
      <c r="D304" s="41"/>
      <c r="E304" s="279" t="s">
        <v>18</v>
      </c>
      <c r="F304" s="41"/>
      <c r="G304" s="43"/>
      <c r="H304" s="141" t="s">
        <v>12</v>
      </c>
      <c r="I304" s="45"/>
      <c r="J304" s="45"/>
      <c r="K304" s="46"/>
      <c r="L304" s="50">
        <f>L307+L310</f>
        <v>0</v>
      </c>
      <c r="M304" s="50">
        <f>M307+M310</f>
        <v>0</v>
      </c>
      <c r="N304" s="50">
        <f>N307+N310</f>
        <v>0</v>
      </c>
      <c r="O304" s="50">
        <f>IF(L304&gt;0,N304*100/L304,0)</f>
        <v>0</v>
      </c>
      <c r="P304" s="50">
        <f>IF(M304&gt;0,N304*100/M304,0)</f>
        <v>0</v>
      </c>
    </row>
    <row r="305" spans="1:16" ht="18.75" x14ac:dyDescent="0.25">
      <c r="A305" s="136"/>
      <c r="B305" s="41"/>
      <c r="C305" s="41"/>
      <c r="D305" s="41"/>
      <c r="E305" s="254" t="s">
        <v>19</v>
      </c>
      <c r="F305" s="41"/>
      <c r="G305" s="43"/>
      <c r="H305" s="142" t="s">
        <v>12</v>
      </c>
      <c r="I305" s="45"/>
      <c r="J305" s="45"/>
      <c r="K305" s="46"/>
      <c r="L305" s="47">
        <f ca="1">L308+L311</f>
        <v>184600</v>
      </c>
      <c r="M305" s="47">
        <f ca="1">M308+M311</f>
        <v>137400</v>
      </c>
      <c r="N305" s="47">
        <f ca="1">N308+N311</f>
        <v>14600</v>
      </c>
      <c r="O305" s="47">
        <f ca="1">IF(L305&gt;0,N305*100/L305,0)</f>
        <v>7.9089924160346694</v>
      </c>
      <c r="P305" s="47">
        <f ca="1">IF(M305&gt;0,N305*100/M305,0)</f>
        <v>10.625909752547306</v>
      </c>
    </row>
    <row r="306" spans="1:16" ht="18.75" x14ac:dyDescent="0.25">
      <c r="A306" s="136"/>
      <c r="B306" s="41"/>
      <c r="C306" s="41"/>
      <c r="D306" s="42" t="s">
        <v>20</v>
      </c>
      <c r="E306" s="41"/>
      <c r="F306" s="41"/>
      <c r="G306" s="43"/>
      <c r="H306" s="143" t="s">
        <v>12</v>
      </c>
      <c r="I306" s="144"/>
      <c r="J306" s="144"/>
      <c r="K306" s="145"/>
      <c r="L306" s="47">
        <f ca="1">L307+L308</f>
        <v>184600</v>
      </c>
      <c r="M306" s="47">
        <f ca="1">M307+M308</f>
        <v>137400</v>
      </c>
      <c r="N306" s="47">
        <f ca="1">N307+N308</f>
        <v>14600</v>
      </c>
      <c r="O306" s="47">
        <f ca="1">IF(L306&gt;0,N306*100/L306,0)</f>
        <v>7.9089924160346694</v>
      </c>
      <c r="P306" s="47">
        <f ca="1">IF(M306&gt;0,N306*100/M306,0)</f>
        <v>10.625909752547306</v>
      </c>
    </row>
    <row r="307" spans="1:16" ht="18.75" hidden="1" x14ac:dyDescent="0.25">
      <c r="A307" s="136"/>
      <c r="B307" s="41"/>
      <c r="C307" s="41"/>
      <c r="D307" s="41"/>
      <c r="E307" s="279" t="s">
        <v>34</v>
      </c>
      <c r="F307" s="41"/>
      <c r="G307" s="43"/>
      <c r="H307" s="146" t="s">
        <v>12</v>
      </c>
      <c r="I307" s="144"/>
      <c r="J307" s="144"/>
      <c r="K307" s="145"/>
      <c r="L307" s="50">
        <v>0</v>
      </c>
      <c r="M307" s="50">
        <v>0</v>
      </c>
      <c r="N307" s="50">
        <v>0</v>
      </c>
      <c r="O307" s="50">
        <f>IF(L307&gt;0,N307*100/L307,0)</f>
        <v>0</v>
      </c>
      <c r="P307" s="50">
        <f>IF(M307&gt;0,N307*100/M307,0)</f>
        <v>0</v>
      </c>
    </row>
    <row r="308" spans="1:16" ht="18.75" x14ac:dyDescent="0.25">
      <c r="A308" s="136"/>
      <c r="B308" s="41"/>
      <c r="C308" s="41"/>
      <c r="D308" s="41"/>
      <c r="E308" s="254" t="s">
        <v>35</v>
      </c>
      <c r="F308" s="41"/>
      <c r="G308" s="43"/>
      <c r="H308" s="143" t="s">
        <v>12</v>
      </c>
      <c r="I308" s="144"/>
      <c r="J308" s="144"/>
      <c r="K308" s="145"/>
      <c r="L308" s="47">
        <f ca="1">IFERROR(__xludf.DUMMYFUNCTION("IMPORTRANGE(""https://docs.google.com/spreadsheets/d/1-uDff_7J0KD5mKrp0Vvzr7lt3OU09vwQwhkpOPPYv2Y/edit?usp=sharing"",""งบพรบ!DY29"")"),184600)</f>
        <v>184600</v>
      </c>
      <c r="M308" s="47">
        <f ca="1">IFERROR(__xludf.DUMMYFUNCTION("IMPORTRANGE(""https://docs.google.com/spreadsheets/d/1-uDff_7J0KD5mKrp0Vvzr7lt3OU09vwQwhkpOPPYv2Y/edit?usp=sharing"",""งบพรบ!ED29"")"),137400)</f>
        <v>137400</v>
      </c>
      <c r="N308" s="47">
        <f ca="1">IFERROR(__xludf.DUMMYFUNCTION("IMPORTRANGE(""https://docs.google.com/spreadsheets/d/1-uDff_7J0KD5mKrp0Vvzr7lt3OU09vwQwhkpOPPYv2Y/edit?usp=sharing"",""งบพรบ!EF29"")"),14600)</f>
        <v>14600</v>
      </c>
      <c r="O308" s="47">
        <f ca="1">IF(L308&gt;0,N308*100/L308,0)</f>
        <v>7.9089924160346694</v>
      </c>
      <c r="P308" s="47">
        <f ca="1">IF(M308&gt;0,N308*100/M308,0)</f>
        <v>10.625909752547306</v>
      </c>
    </row>
    <row r="309" spans="1:16" ht="18.75" x14ac:dyDescent="0.25">
      <c r="A309" s="136"/>
      <c r="B309" s="41"/>
      <c r="C309" s="41"/>
      <c r="D309" s="42" t="s">
        <v>21</v>
      </c>
      <c r="E309" s="41"/>
      <c r="F309" s="41"/>
      <c r="G309" s="43"/>
      <c r="H309" s="147" t="s">
        <v>12</v>
      </c>
      <c r="I309" s="144"/>
      <c r="J309" s="144"/>
      <c r="K309" s="145"/>
      <c r="L309" s="47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</row>
    <row r="310" spans="1:16" ht="18.75" hidden="1" x14ac:dyDescent="0.25">
      <c r="A310" s="136"/>
      <c r="B310" s="41"/>
      <c r="C310" s="41"/>
      <c r="D310" s="41"/>
      <c r="E310" s="279" t="s">
        <v>18</v>
      </c>
      <c r="F310" s="41"/>
      <c r="G310" s="43"/>
      <c r="H310" s="146" t="s">
        <v>12</v>
      </c>
      <c r="I310" s="144"/>
      <c r="J310" s="144"/>
      <c r="K310" s="145"/>
      <c r="L310" s="50">
        <v>0</v>
      </c>
      <c r="M310" s="50">
        <v>0</v>
      </c>
      <c r="N310" s="50">
        <v>0</v>
      </c>
      <c r="O310" s="50">
        <f>IF(L310&gt;0,N310*100/L310,0)</f>
        <v>0</v>
      </c>
      <c r="P310" s="50">
        <f>IF(M310&gt;0,N310*100/M310,0)</f>
        <v>0</v>
      </c>
    </row>
    <row r="311" spans="1:16" ht="18.75" x14ac:dyDescent="0.25">
      <c r="A311" s="136"/>
      <c r="B311" s="41"/>
      <c r="C311" s="41"/>
      <c r="D311" s="41"/>
      <c r="E311" s="254" t="s">
        <v>19</v>
      </c>
      <c r="F311" s="41"/>
      <c r="G311" s="43"/>
      <c r="H311" s="147" t="s">
        <v>12</v>
      </c>
      <c r="I311" s="144"/>
      <c r="J311" s="144"/>
      <c r="K311" s="145"/>
      <c r="L311" s="47">
        <f ca="1">IFERROR(__xludf.DUMMYFUNCTION("IMPORTRANGE(""https://docs.google.com/spreadsheets/d/1-uDff_7J0KD5mKrp0Vvzr7lt3OU09vwQwhkpOPPYv2Y/edit?usp=sharing"",""งบพรบ!EB29"")"),0)</f>
        <v>0</v>
      </c>
      <c r="M311" s="47">
        <f ca="1">IFERROR(__xludf.DUMMYFUNCTION("IMPORTRANGE(""https://docs.google.com/spreadsheets/d/1-uDff_7J0KD5mKrp0Vvzr7lt3OU09vwQwhkpOPPYv2Y/edit?usp=sharing"",""งบพรบ!EE29"")"),0)</f>
        <v>0</v>
      </c>
      <c r="N311" s="47">
        <f ca="1">IFERROR(__xludf.DUMMYFUNCTION("IMPORTRANGE(""https://docs.google.com/spreadsheets/d/1-uDff_7J0KD5mKrp0Vvzr7lt3OU09vwQwhkpOPPYv2Y/edit?usp=sharing"",""งบพรบ!EG29"")"),0)</f>
        <v>0</v>
      </c>
      <c r="O311" s="47">
        <f ca="1">IF(L311&gt;0,N311*100/L311,0)</f>
        <v>0</v>
      </c>
      <c r="P311" s="47">
        <f ca="1">IF(M311&gt;0,N311*100/M311,0)</f>
        <v>0</v>
      </c>
    </row>
    <row r="312" spans="1:16" ht="19.5" x14ac:dyDescent="0.3">
      <c r="A312" s="148"/>
      <c r="B312" s="149"/>
      <c r="C312" s="197" t="s">
        <v>16</v>
      </c>
      <c r="D312" s="395" t="s">
        <v>36</v>
      </c>
      <c r="E312" s="151"/>
      <c r="F312" s="151"/>
      <c r="G312" s="152"/>
      <c r="H312" s="153"/>
      <c r="I312" s="45"/>
      <c r="J312" s="45"/>
      <c r="K312" s="46"/>
      <c r="L312" s="46"/>
      <c r="M312" s="46"/>
      <c r="N312" s="46"/>
      <c r="O312" s="46"/>
      <c r="P312" s="46"/>
    </row>
    <row r="313" spans="1:16" ht="18.75" x14ac:dyDescent="0.25">
      <c r="A313" s="148"/>
      <c r="B313" s="149"/>
      <c r="C313" s="149"/>
      <c r="D313" s="159" t="s">
        <v>122</v>
      </c>
      <c r="E313" s="155"/>
      <c r="F313" s="155"/>
      <c r="G313" s="153"/>
      <c r="H313" s="153"/>
      <c r="I313" s="45"/>
      <c r="J313" s="250">
        <v>0</v>
      </c>
      <c r="K313" s="46"/>
      <c r="L313" s="46"/>
      <c r="M313" s="46"/>
      <c r="N313" s="46"/>
      <c r="O313" s="46"/>
      <c r="P313" s="46"/>
    </row>
    <row r="314" spans="1:16" ht="18.75" x14ac:dyDescent="0.25">
      <c r="A314" s="148"/>
      <c r="B314" s="149"/>
      <c r="C314" s="149"/>
      <c r="D314" s="159" t="s">
        <v>115</v>
      </c>
      <c r="E314" s="155"/>
      <c r="F314" s="155"/>
      <c r="G314" s="153"/>
      <c r="H314" s="251" t="s">
        <v>33</v>
      </c>
      <c r="I314" s="169">
        <f ca="1">IFERROR(__xludf.DUMMYFUNCTION("IMPORTRANGE(""https://docs.google.com/spreadsheets/d/1eHaY18a8A9IcSdp1K8H6x8fbOy06t2VsZHhMHf-1x7Y/edit?usp=sharing"",""แผน!EF29"")"),20)</f>
        <v>20</v>
      </c>
      <c r="J314" s="250">
        <v>0</v>
      </c>
      <c r="K314" s="47">
        <f ca="1">IF(I314&gt;0,J314*100/I314,0)</f>
        <v>0</v>
      </c>
      <c r="L314" s="46"/>
      <c r="M314" s="46"/>
      <c r="N314" s="46"/>
      <c r="O314" s="46"/>
      <c r="P314" s="46"/>
    </row>
    <row r="315" spans="1:16" ht="18.75" x14ac:dyDescent="0.25">
      <c r="A315" s="148"/>
      <c r="B315" s="149"/>
      <c r="C315" s="149"/>
      <c r="D315" s="159" t="s">
        <v>123</v>
      </c>
      <c r="E315" s="155"/>
      <c r="F315" s="155"/>
      <c r="G315" s="153"/>
      <c r="H315" s="251" t="s">
        <v>33</v>
      </c>
      <c r="I315" s="169">
        <f ca="1">IFERROR(__xludf.DUMMYFUNCTION("IMPORTRANGE(""https://docs.google.com/spreadsheets/d/1eHaY18a8A9IcSdp1K8H6x8fbOy06t2VsZHhMHf-1x7Y/edit?usp=sharing"",""แผน!EG29"")"),4)</f>
        <v>4</v>
      </c>
      <c r="J315" s="250">
        <v>0</v>
      </c>
      <c r="K315" s="47">
        <f ca="1">IF(I315&gt;0,J315*100/I315,0)</f>
        <v>0</v>
      </c>
      <c r="L315" s="46"/>
      <c r="M315" s="46"/>
      <c r="N315" s="46"/>
      <c r="O315" s="46"/>
      <c r="P315" s="46"/>
    </row>
    <row r="316" spans="1:16" ht="18.75" x14ac:dyDescent="0.25">
      <c r="A316" s="148"/>
      <c r="B316" s="149"/>
      <c r="C316" s="149"/>
      <c r="D316" s="159" t="s">
        <v>48</v>
      </c>
      <c r="E316" s="155"/>
      <c r="F316" s="155"/>
      <c r="G316" s="153"/>
      <c r="H316" s="251" t="s">
        <v>33</v>
      </c>
      <c r="I316" s="169">
        <f ca="1">IFERROR(__xludf.DUMMYFUNCTION("IMPORTRANGE(""https://docs.google.com/spreadsheets/d/1eHaY18a8A9IcSdp1K8H6x8fbOy06t2VsZHhMHf-1x7Y/edit?usp=sharing"",""แผน!EH29"")"),20)</f>
        <v>20</v>
      </c>
      <c r="J316" s="250">
        <v>0</v>
      </c>
      <c r="K316" s="47">
        <f ca="1">IF(I316&gt;0,J316*100/I316,0)</f>
        <v>0</v>
      </c>
      <c r="L316" s="46"/>
      <c r="M316" s="46"/>
      <c r="N316" s="46"/>
      <c r="O316" s="46"/>
      <c r="P316" s="46"/>
    </row>
    <row r="317" spans="1:16" ht="18.75" hidden="1" x14ac:dyDescent="0.25">
      <c r="A317" s="227"/>
      <c r="B317" s="228"/>
      <c r="C317" s="228"/>
      <c r="D317" s="279" t="s">
        <v>124</v>
      </c>
      <c r="E317" s="41"/>
      <c r="F317" s="41"/>
      <c r="G317" s="43"/>
      <c r="H317" s="49" t="s">
        <v>33</v>
      </c>
      <c r="I317" s="200">
        <f ca="1">IFERROR(__xludf.DUMMYFUNCTION("IMPORTRANGE(""https://docs.google.com/spreadsheets/d/1eHaY18a8A9IcSdp1K8H6x8fbOy06t2VsZHhMHf-1x7Y/edit?usp=sharing"",""แผน!EI29"")"),4)</f>
        <v>4</v>
      </c>
      <c r="J317" s="200">
        <v>0</v>
      </c>
      <c r="K317" s="50">
        <f ca="1">IF(I317&gt;0,J317*100/I317,0)</f>
        <v>0</v>
      </c>
      <c r="L317" s="46"/>
      <c r="M317" s="46"/>
      <c r="N317" s="46"/>
      <c r="O317" s="46"/>
      <c r="P317" s="46"/>
    </row>
    <row r="318" spans="1:16" ht="19.5" hidden="1" x14ac:dyDescent="0.3">
      <c r="A318" s="317" t="s">
        <v>125</v>
      </c>
      <c r="B318" s="318"/>
      <c r="C318" s="318"/>
      <c r="D318" s="319"/>
      <c r="E318" s="318"/>
      <c r="F318" s="318"/>
      <c r="G318" s="318"/>
      <c r="H318" s="319"/>
      <c r="I318" s="321"/>
      <c r="J318" s="321"/>
      <c r="K318" s="322"/>
      <c r="L318" s="322"/>
      <c r="M318" s="322"/>
      <c r="N318" s="322"/>
      <c r="O318" s="322"/>
      <c r="P318" s="322"/>
    </row>
    <row r="319" spans="1:16" ht="19.5" hidden="1" x14ac:dyDescent="0.3">
      <c r="A319" s="331"/>
      <c r="B319" s="324" t="s">
        <v>126</v>
      </c>
      <c r="C319" s="332"/>
      <c r="D319" s="333"/>
      <c r="E319" s="325"/>
      <c r="F319" s="325"/>
      <c r="G319" s="326"/>
      <c r="H319" s="327" t="s">
        <v>127</v>
      </c>
      <c r="I319" s="328">
        <f ca="1">I330</f>
        <v>0</v>
      </c>
      <c r="J319" s="328">
        <f>J330</f>
        <v>0</v>
      </c>
      <c r="K319" s="329">
        <f ca="1">IF(I319&gt;0,J319*100/I319,0)</f>
        <v>0</v>
      </c>
      <c r="L319" s="330"/>
      <c r="M319" s="330"/>
      <c r="N319" s="330"/>
      <c r="O319" s="330"/>
      <c r="P319" s="330"/>
    </row>
    <row r="320" spans="1:16" ht="19.5" hidden="1" x14ac:dyDescent="0.3">
      <c r="A320" s="136"/>
      <c r="B320" s="41"/>
      <c r="C320" s="197" t="s">
        <v>16</v>
      </c>
      <c r="D320" s="397" t="s">
        <v>17</v>
      </c>
      <c r="E320" s="41"/>
      <c r="F320" s="41"/>
      <c r="G320" s="43"/>
      <c r="H320" s="139" t="s">
        <v>12</v>
      </c>
      <c r="I320" s="45"/>
      <c r="J320" s="45"/>
      <c r="K320" s="46"/>
      <c r="L320" s="140">
        <f ca="1">L321+L322</f>
        <v>0</v>
      </c>
      <c r="M320" s="140">
        <f ca="1">M321+M322</f>
        <v>0</v>
      </c>
      <c r="N320" s="140">
        <f ca="1">N321+N322</f>
        <v>0</v>
      </c>
      <c r="O320" s="140">
        <f ca="1">IF(L320&gt;0,N320*100/L320,0)</f>
        <v>0</v>
      </c>
      <c r="P320" s="140">
        <f ca="1">IF(M320&gt;0,N320*100/M320,0)</f>
        <v>0</v>
      </c>
    </row>
    <row r="321" spans="1:16" ht="18.75" hidden="1" x14ac:dyDescent="0.25">
      <c r="A321" s="136"/>
      <c r="B321" s="41"/>
      <c r="C321" s="41"/>
      <c r="D321" s="41"/>
      <c r="E321" s="279" t="s">
        <v>18</v>
      </c>
      <c r="F321" s="41"/>
      <c r="G321" s="43"/>
      <c r="H321" s="141" t="s">
        <v>12</v>
      </c>
      <c r="I321" s="45"/>
      <c r="J321" s="45"/>
      <c r="K321" s="46"/>
      <c r="L321" s="50">
        <f>L324+L327</f>
        <v>0</v>
      </c>
      <c r="M321" s="50">
        <f>M324+M327</f>
        <v>0</v>
      </c>
      <c r="N321" s="50">
        <f>N324+N327</f>
        <v>0</v>
      </c>
      <c r="O321" s="50">
        <f>IF(L321&gt;0,N321*100/L321,0)</f>
        <v>0</v>
      </c>
      <c r="P321" s="50">
        <f>IF(M321&gt;0,N321*100/M321,0)</f>
        <v>0</v>
      </c>
    </row>
    <row r="322" spans="1:16" ht="18.75" hidden="1" x14ac:dyDescent="0.25">
      <c r="A322" s="136"/>
      <c r="B322" s="41"/>
      <c r="C322" s="41"/>
      <c r="D322" s="41"/>
      <c r="E322" s="254" t="s">
        <v>19</v>
      </c>
      <c r="F322" s="41"/>
      <c r="G322" s="43"/>
      <c r="H322" s="142" t="s">
        <v>12</v>
      </c>
      <c r="I322" s="45"/>
      <c r="J322" s="45"/>
      <c r="K322" s="46"/>
      <c r="L322" s="47">
        <f ca="1">L325+L328</f>
        <v>0</v>
      </c>
      <c r="M322" s="47">
        <f ca="1">M325+M328</f>
        <v>0</v>
      </c>
      <c r="N322" s="47">
        <f ca="1">N325+N328</f>
        <v>0</v>
      </c>
      <c r="O322" s="47">
        <f ca="1">IF(L322&gt;0,N322*100/L322,0)</f>
        <v>0</v>
      </c>
      <c r="P322" s="47">
        <f ca="1">IF(M322&gt;0,N322*100/M322,0)</f>
        <v>0</v>
      </c>
    </row>
    <row r="323" spans="1:16" ht="18.75" hidden="1" x14ac:dyDescent="0.25">
      <c r="A323" s="136"/>
      <c r="B323" s="41"/>
      <c r="C323" s="41"/>
      <c r="D323" s="42" t="s">
        <v>20</v>
      </c>
      <c r="E323" s="41"/>
      <c r="F323" s="41"/>
      <c r="G323" s="43"/>
      <c r="H323" s="143" t="s">
        <v>12</v>
      </c>
      <c r="I323" s="144"/>
      <c r="J323" s="144"/>
      <c r="K323" s="145"/>
      <c r="L323" s="47">
        <f ca="1">L324+L325</f>
        <v>0</v>
      </c>
      <c r="M323" s="47">
        <f ca="1">M324+M325</f>
        <v>0</v>
      </c>
      <c r="N323" s="47">
        <f ca="1">N324+N325</f>
        <v>0</v>
      </c>
      <c r="O323" s="47">
        <f ca="1">IF(L323&gt;0,N323*100/L323,0)</f>
        <v>0</v>
      </c>
      <c r="P323" s="47">
        <f ca="1">IF(M323&gt;0,N323*100/M323,0)</f>
        <v>0</v>
      </c>
    </row>
    <row r="324" spans="1:16" ht="18.75" hidden="1" x14ac:dyDescent="0.25">
      <c r="A324" s="136"/>
      <c r="B324" s="41"/>
      <c r="C324" s="41"/>
      <c r="D324" s="41"/>
      <c r="E324" s="279" t="s">
        <v>34</v>
      </c>
      <c r="F324" s="41"/>
      <c r="G324" s="43"/>
      <c r="H324" s="146" t="s">
        <v>12</v>
      </c>
      <c r="I324" s="144"/>
      <c r="J324" s="144"/>
      <c r="K324" s="145"/>
      <c r="L324" s="50">
        <v>0</v>
      </c>
      <c r="M324" s="50">
        <v>0</v>
      </c>
      <c r="N324" s="50">
        <v>0</v>
      </c>
      <c r="O324" s="50">
        <f>IF(L324&gt;0,N324*100/L324,0)</f>
        <v>0</v>
      </c>
      <c r="P324" s="50">
        <f>IF(M324&gt;0,N324*100/M324,0)</f>
        <v>0</v>
      </c>
    </row>
    <row r="325" spans="1:16" ht="18.75" hidden="1" x14ac:dyDescent="0.25">
      <c r="A325" s="136"/>
      <c r="B325" s="41"/>
      <c r="C325" s="41"/>
      <c r="D325" s="41"/>
      <c r="E325" s="254" t="s">
        <v>35</v>
      </c>
      <c r="F325" s="41"/>
      <c r="G325" s="43"/>
      <c r="H325" s="143" t="s">
        <v>12</v>
      </c>
      <c r="I325" s="144"/>
      <c r="J325" s="144"/>
      <c r="K325" s="145"/>
      <c r="L325" s="47">
        <f ca="1">IFERROR(__xludf.DUMMYFUNCTION("IMPORTRANGE(""https://docs.google.com/spreadsheets/d/1-uDff_7J0KD5mKrp0Vvzr7lt3OU09vwQwhkpOPPYv2Y/edit?usp=sharing"",""งบพรบ!EI29"")"),0)</f>
        <v>0</v>
      </c>
      <c r="M325" s="47">
        <f ca="1">IFERROR(__xludf.DUMMYFUNCTION("IMPORTRANGE(""https://docs.google.com/spreadsheets/d/1-uDff_7J0KD5mKrp0Vvzr7lt3OU09vwQwhkpOPPYv2Y/edit?usp=sharing"",""งบพรบ!EN29"")"),0)</f>
        <v>0</v>
      </c>
      <c r="N325" s="47">
        <f ca="1">IFERROR(__xludf.DUMMYFUNCTION("IMPORTRANGE(""https://docs.google.com/spreadsheets/d/1-uDff_7J0KD5mKrp0Vvzr7lt3OU09vwQwhkpOPPYv2Y/edit?usp=sharing"",""งบพรบ!EP29"")"),0)</f>
        <v>0</v>
      </c>
      <c r="O325" s="47">
        <f ca="1">IF(L325&gt;0,N325*100/L325,0)</f>
        <v>0</v>
      </c>
      <c r="P325" s="47">
        <f ca="1">IF(M325&gt;0,N325*100/M325,0)</f>
        <v>0</v>
      </c>
    </row>
    <row r="326" spans="1:16" ht="18.75" hidden="1" x14ac:dyDescent="0.25">
      <c r="A326" s="136"/>
      <c r="B326" s="41"/>
      <c r="C326" s="41"/>
      <c r="D326" s="42" t="s">
        <v>21</v>
      </c>
      <c r="E326" s="41"/>
      <c r="F326" s="41"/>
      <c r="G326" s="43"/>
      <c r="H326" s="147" t="s">
        <v>12</v>
      </c>
      <c r="I326" s="144"/>
      <c r="J326" s="144"/>
      <c r="K326" s="145"/>
      <c r="L326" s="47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</row>
    <row r="327" spans="1:16" ht="18.75" hidden="1" x14ac:dyDescent="0.25">
      <c r="A327" s="136"/>
      <c r="B327" s="41"/>
      <c r="C327" s="41"/>
      <c r="D327" s="41"/>
      <c r="E327" s="279" t="s">
        <v>18</v>
      </c>
      <c r="F327" s="41"/>
      <c r="G327" s="43"/>
      <c r="H327" s="146" t="s">
        <v>12</v>
      </c>
      <c r="I327" s="144"/>
      <c r="J327" s="144"/>
      <c r="K327" s="145"/>
      <c r="L327" s="50">
        <v>0</v>
      </c>
      <c r="M327" s="50">
        <v>0</v>
      </c>
      <c r="N327" s="50">
        <v>0</v>
      </c>
      <c r="O327" s="50">
        <f>IF(L327&gt;0,N327*100/L327,0)</f>
        <v>0</v>
      </c>
      <c r="P327" s="50">
        <f>IF(M327&gt;0,N327*100/M327,0)</f>
        <v>0</v>
      </c>
    </row>
    <row r="328" spans="1:16" ht="18.75" hidden="1" x14ac:dyDescent="0.25">
      <c r="A328" s="136"/>
      <c r="B328" s="41"/>
      <c r="C328" s="41"/>
      <c r="D328" s="41"/>
      <c r="E328" s="254" t="s">
        <v>19</v>
      </c>
      <c r="F328" s="41"/>
      <c r="G328" s="43"/>
      <c r="H328" s="147" t="s">
        <v>12</v>
      </c>
      <c r="I328" s="144"/>
      <c r="J328" s="144"/>
      <c r="K328" s="145"/>
      <c r="L328" s="47">
        <f ca="1">IFERROR(__xludf.DUMMYFUNCTION("IMPORTRANGE(""https://docs.google.com/spreadsheets/d/1-uDff_7J0KD5mKrp0Vvzr7lt3OU09vwQwhkpOPPYv2Y/edit?usp=sharing"",""งบพรบ!EL29"")"),0)</f>
        <v>0</v>
      </c>
      <c r="M328" s="47">
        <f ca="1">IFERROR(__xludf.DUMMYFUNCTION("IMPORTRANGE(""https://docs.google.com/spreadsheets/d/1-uDff_7J0KD5mKrp0Vvzr7lt3OU09vwQwhkpOPPYv2Y/edit?usp=sharing"",""งบพรบ!EO29"")"),0)</f>
        <v>0</v>
      </c>
      <c r="N328" s="47">
        <f ca="1">IFERROR(__xludf.DUMMYFUNCTION("IMPORTRANGE(""https://docs.google.com/spreadsheets/d/1-uDff_7J0KD5mKrp0Vvzr7lt3OU09vwQwhkpOPPYv2Y/edit?usp=sharing"",""งบพรบ!EQ29"")"),0)</f>
        <v>0</v>
      </c>
      <c r="O328" s="47">
        <f ca="1">IF(L328&gt;0,N328*100/L328,0)</f>
        <v>0</v>
      </c>
      <c r="P328" s="47">
        <f ca="1">IF(M328&gt;0,N328*100/M328,0)</f>
        <v>0</v>
      </c>
    </row>
    <row r="329" spans="1:16" ht="19.5" hidden="1" x14ac:dyDescent="0.3">
      <c r="A329" s="148"/>
      <c r="B329" s="149"/>
      <c r="C329" s="197" t="s">
        <v>16</v>
      </c>
      <c r="D329" s="395" t="s">
        <v>36</v>
      </c>
      <c r="E329" s="151"/>
      <c r="F329" s="151"/>
      <c r="G329" s="152"/>
      <c r="H329" s="153"/>
      <c r="I329" s="144"/>
      <c r="J329" s="45"/>
      <c r="K329" s="46"/>
      <c r="L329" s="46"/>
      <c r="M329" s="46"/>
      <c r="N329" s="46"/>
      <c r="O329" s="145"/>
      <c r="P329" s="145"/>
    </row>
    <row r="330" spans="1:16" ht="18.75" hidden="1" x14ac:dyDescent="0.25">
      <c r="A330" s="148"/>
      <c r="B330" s="149"/>
      <c r="C330" s="149"/>
      <c r="D330" s="154" t="s">
        <v>128</v>
      </c>
      <c r="E330" s="155"/>
      <c r="F330" s="155"/>
      <c r="G330" s="153"/>
      <c r="H330" s="44" t="s">
        <v>127</v>
      </c>
      <c r="I330" s="169">
        <f ca="1">IFERROR(__xludf.DUMMYFUNCTION("IMPORTRANGE(""https://docs.google.com/spreadsheets/d/1eHaY18a8A9IcSdp1K8H6x8fbOy06t2VsZHhMHf-1x7Y/edit?usp=sharing"",""แผน!EJ29"")"),0)</f>
        <v>0</v>
      </c>
      <c r="J330" s="250">
        <v>0</v>
      </c>
      <c r="K330" s="47">
        <f ca="1">IF(I330&gt;0,J330*100/I330,0)</f>
        <v>0</v>
      </c>
      <c r="L330" s="46"/>
      <c r="M330" s="46"/>
      <c r="N330" s="46"/>
      <c r="O330" s="145"/>
      <c r="P330" s="145"/>
    </row>
    <row r="331" spans="1:16" ht="19.5" x14ac:dyDescent="0.3">
      <c r="A331" s="317" t="s">
        <v>129</v>
      </c>
      <c r="B331" s="318"/>
      <c r="C331" s="318"/>
      <c r="D331" s="319"/>
      <c r="E331" s="318"/>
      <c r="F331" s="318"/>
      <c r="G331" s="318"/>
      <c r="H331" s="319"/>
      <c r="I331" s="321"/>
      <c r="J331" s="321"/>
      <c r="K331" s="322"/>
      <c r="L331" s="322"/>
      <c r="M331" s="322"/>
      <c r="N331" s="322"/>
      <c r="O331" s="322"/>
      <c r="P331" s="322"/>
    </row>
    <row r="332" spans="1:16" ht="19.5" x14ac:dyDescent="0.3">
      <c r="A332" s="323"/>
      <c r="B332" s="324" t="s">
        <v>130</v>
      </c>
      <c r="C332" s="333"/>
      <c r="D332" s="325"/>
      <c r="E332" s="325"/>
      <c r="F332" s="325"/>
      <c r="G332" s="326"/>
      <c r="H332" s="327" t="s">
        <v>33</v>
      </c>
      <c r="I332" s="334">
        <f ca="1">I344</f>
        <v>1200</v>
      </c>
      <c r="J332" s="335">
        <f ca="1">J344+J347+J348+J349+J353</f>
        <v>1427</v>
      </c>
      <c r="K332" s="336">
        <f ca="1">IF(I332&gt;0,J332*100/I332,0)</f>
        <v>118.91666666666667</v>
      </c>
      <c r="L332" s="330"/>
      <c r="M332" s="330"/>
      <c r="N332" s="330"/>
      <c r="O332" s="330"/>
      <c r="P332" s="330"/>
    </row>
    <row r="333" spans="1:16" ht="19.5" x14ac:dyDescent="0.3">
      <c r="A333" s="136"/>
      <c r="B333" s="41"/>
      <c r="C333" s="197" t="s">
        <v>16</v>
      </c>
      <c r="D333" s="397" t="s">
        <v>17</v>
      </c>
      <c r="E333" s="41"/>
      <c r="F333" s="41"/>
      <c r="G333" s="43"/>
      <c r="H333" s="139" t="s">
        <v>12</v>
      </c>
      <c r="I333" s="45"/>
      <c r="J333" s="45"/>
      <c r="K333" s="46"/>
      <c r="L333" s="140">
        <f ca="1">L334+L335</f>
        <v>111000</v>
      </c>
      <c r="M333" s="140">
        <f ca="1">M334+M335</f>
        <v>88150</v>
      </c>
      <c r="N333" s="140">
        <f ca="1">N334+N335</f>
        <v>16355</v>
      </c>
      <c r="O333" s="140">
        <f ca="1">IF(L333&gt;0,N333*100/L333,0)</f>
        <v>14.734234234234235</v>
      </c>
      <c r="P333" s="140">
        <f ca="1">IF(M333&gt;0,N333*100/M333,0)</f>
        <v>18.553601815087919</v>
      </c>
    </row>
    <row r="334" spans="1:16" ht="18.75" hidden="1" x14ac:dyDescent="0.25">
      <c r="A334" s="136"/>
      <c r="B334" s="41"/>
      <c r="C334" s="41"/>
      <c r="D334" s="41"/>
      <c r="E334" s="279" t="s">
        <v>18</v>
      </c>
      <c r="F334" s="41"/>
      <c r="G334" s="43"/>
      <c r="H334" s="141" t="s">
        <v>12</v>
      </c>
      <c r="I334" s="45"/>
      <c r="J334" s="45"/>
      <c r="K334" s="46"/>
      <c r="L334" s="50">
        <f>L337+L340</f>
        <v>0</v>
      </c>
      <c r="M334" s="50">
        <f>M337+M340</f>
        <v>0</v>
      </c>
      <c r="N334" s="50">
        <f>N337+N340</f>
        <v>0</v>
      </c>
      <c r="O334" s="50">
        <f>IF(L334&gt;0,N334*100/L334,0)</f>
        <v>0</v>
      </c>
      <c r="P334" s="50">
        <f>IF(M334&gt;0,N334*100/M334,0)</f>
        <v>0</v>
      </c>
    </row>
    <row r="335" spans="1:16" ht="18.75" x14ac:dyDescent="0.25">
      <c r="A335" s="136"/>
      <c r="B335" s="41"/>
      <c r="C335" s="41"/>
      <c r="D335" s="41"/>
      <c r="E335" s="254" t="s">
        <v>19</v>
      </c>
      <c r="F335" s="41"/>
      <c r="G335" s="43"/>
      <c r="H335" s="142" t="s">
        <v>12</v>
      </c>
      <c r="I335" s="45"/>
      <c r="J335" s="45"/>
      <c r="K335" s="46"/>
      <c r="L335" s="47">
        <f ca="1">L338+L341</f>
        <v>111000</v>
      </c>
      <c r="M335" s="47">
        <f ca="1">M338+M341</f>
        <v>88150</v>
      </c>
      <c r="N335" s="47">
        <f ca="1">N338+N341</f>
        <v>16355</v>
      </c>
      <c r="O335" s="47">
        <f ca="1">IF(L335&gt;0,N335*100/L335,0)</f>
        <v>14.734234234234235</v>
      </c>
      <c r="P335" s="47">
        <f ca="1">IF(M335&gt;0,N335*100/M335,0)</f>
        <v>18.553601815087919</v>
      </c>
    </row>
    <row r="336" spans="1:16" ht="18.75" x14ac:dyDescent="0.25">
      <c r="A336" s="136"/>
      <c r="B336" s="41"/>
      <c r="C336" s="41"/>
      <c r="D336" s="42" t="s">
        <v>20</v>
      </c>
      <c r="E336" s="41"/>
      <c r="F336" s="41"/>
      <c r="G336" s="43"/>
      <c r="H336" s="143" t="s">
        <v>12</v>
      </c>
      <c r="I336" s="144"/>
      <c r="J336" s="144"/>
      <c r="K336" s="145"/>
      <c r="L336" s="47">
        <f ca="1">L337+L338</f>
        <v>111000</v>
      </c>
      <c r="M336" s="47">
        <f ca="1">M337+M338</f>
        <v>88150</v>
      </c>
      <c r="N336" s="47">
        <f ca="1">N337+N338</f>
        <v>16355</v>
      </c>
      <c r="O336" s="47">
        <f ca="1">IF(L336&gt;0,N336*100/L336,0)</f>
        <v>14.734234234234235</v>
      </c>
      <c r="P336" s="47">
        <f ca="1">IF(M336&gt;0,N336*100/M336,0)</f>
        <v>18.553601815087919</v>
      </c>
    </row>
    <row r="337" spans="1:16" ht="18.75" hidden="1" x14ac:dyDescent="0.25">
      <c r="A337" s="136"/>
      <c r="B337" s="41"/>
      <c r="C337" s="41"/>
      <c r="D337" s="41"/>
      <c r="E337" s="279" t="s">
        <v>34</v>
      </c>
      <c r="F337" s="41"/>
      <c r="G337" s="43"/>
      <c r="H337" s="146" t="s">
        <v>12</v>
      </c>
      <c r="I337" s="144"/>
      <c r="J337" s="144"/>
      <c r="K337" s="145"/>
      <c r="L337" s="50">
        <v>0</v>
      </c>
      <c r="M337" s="50">
        <v>0</v>
      </c>
      <c r="N337" s="50">
        <v>0</v>
      </c>
      <c r="O337" s="50">
        <f>IF(L337&gt;0,N337*100/L337,0)</f>
        <v>0</v>
      </c>
      <c r="P337" s="50">
        <f>IF(M337&gt;0,N337*100/M337,0)</f>
        <v>0</v>
      </c>
    </row>
    <row r="338" spans="1:16" ht="18.75" x14ac:dyDescent="0.25">
      <c r="A338" s="136"/>
      <c r="B338" s="41"/>
      <c r="C338" s="41"/>
      <c r="D338" s="41"/>
      <c r="E338" s="254" t="s">
        <v>35</v>
      </c>
      <c r="F338" s="41"/>
      <c r="G338" s="43"/>
      <c r="H338" s="143" t="s">
        <v>12</v>
      </c>
      <c r="I338" s="144"/>
      <c r="J338" s="144"/>
      <c r="K338" s="145"/>
      <c r="L338" s="47">
        <f ca="1">IFERROR(__xludf.DUMMYFUNCTION("IMPORTRANGE(""https://docs.google.com/spreadsheets/d/1-uDff_7J0KD5mKrp0Vvzr7lt3OU09vwQwhkpOPPYv2Y/edit?usp=sharing"",""งบพรบ!ES29"")"),111000)</f>
        <v>111000</v>
      </c>
      <c r="M338" s="47">
        <f ca="1">IFERROR(__xludf.DUMMYFUNCTION("IMPORTRANGE(""https://docs.google.com/spreadsheets/d/1-uDff_7J0KD5mKrp0Vvzr7lt3OU09vwQwhkpOPPYv2Y/edit?usp=sharing"",""งบพรบ!EX29"")"),88150)</f>
        <v>88150</v>
      </c>
      <c r="N338" s="47">
        <f ca="1">IFERROR(__xludf.DUMMYFUNCTION("IMPORTRANGE(""https://docs.google.com/spreadsheets/d/1-uDff_7J0KD5mKrp0Vvzr7lt3OU09vwQwhkpOPPYv2Y/edit?usp=sharing"",""งบพรบ!EZ29"")"),16355)</f>
        <v>16355</v>
      </c>
      <c r="O338" s="47">
        <f ca="1">IF(L338&gt;0,N338*100/L338,0)</f>
        <v>14.734234234234235</v>
      </c>
      <c r="P338" s="47">
        <f ca="1">IF(M338&gt;0,N338*100/M338,0)</f>
        <v>18.553601815087919</v>
      </c>
    </row>
    <row r="339" spans="1:16" ht="18.75" x14ac:dyDescent="0.25">
      <c r="A339" s="136"/>
      <c r="B339" s="41"/>
      <c r="C339" s="41"/>
      <c r="D339" s="42" t="s">
        <v>21</v>
      </c>
      <c r="E339" s="41"/>
      <c r="F339" s="41"/>
      <c r="G339" s="43"/>
      <c r="H339" s="147" t="s">
        <v>12</v>
      </c>
      <c r="I339" s="144"/>
      <c r="J339" s="144"/>
      <c r="K339" s="145"/>
      <c r="L339" s="47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</row>
    <row r="340" spans="1:16" ht="18.75" hidden="1" x14ac:dyDescent="0.25">
      <c r="A340" s="136"/>
      <c r="B340" s="41"/>
      <c r="C340" s="41"/>
      <c r="D340" s="41"/>
      <c r="E340" s="279" t="s">
        <v>18</v>
      </c>
      <c r="F340" s="41"/>
      <c r="G340" s="43"/>
      <c r="H340" s="146" t="s">
        <v>12</v>
      </c>
      <c r="I340" s="144"/>
      <c r="J340" s="144"/>
      <c r="K340" s="145"/>
      <c r="L340" s="50">
        <v>0</v>
      </c>
      <c r="M340" s="50">
        <v>0</v>
      </c>
      <c r="N340" s="50">
        <v>0</v>
      </c>
      <c r="O340" s="50">
        <f>IF(L340&gt;0,N340*100/L340,0)</f>
        <v>0</v>
      </c>
      <c r="P340" s="50">
        <f>IF(M340&gt;0,N340*100/M340,0)</f>
        <v>0</v>
      </c>
    </row>
    <row r="341" spans="1:16" ht="18.75" x14ac:dyDescent="0.25">
      <c r="A341" s="136"/>
      <c r="B341" s="41"/>
      <c r="C341" s="41"/>
      <c r="D341" s="41"/>
      <c r="E341" s="254" t="s">
        <v>19</v>
      </c>
      <c r="F341" s="41"/>
      <c r="G341" s="43"/>
      <c r="H341" s="147" t="s">
        <v>12</v>
      </c>
      <c r="I341" s="144"/>
      <c r="J341" s="144"/>
      <c r="K341" s="145"/>
      <c r="L341" s="47">
        <f ca="1">IFERROR(__xludf.DUMMYFUNCTION("IMPORTRANGE(""https://docs.google.com/spreadsheets/d/1-uDff_7J0KD5mKrp0Vvzr7lt3OU09vwQwhkpOPPYv2Y/edit?usp=sharing"",""งบพรบ!EV29"")"),0)</f>
        <v>0</v>
      </c>
      <c r="M341" s="47">
        <f ca="1">IFERROR(__xludf.DUMMYFUNCTION("IMPORTRANGE(""https://docs.google.com/spreadsheets/d/1-uDff_7J0KD5mKrp0Vvzr7lt3OU09vwQwhkpOPPYv2Y/edit?usp=sharing"",""งบพรบ!EY29"")"),0)</f>
        <v>0</v>
      </c>
      <c r="N341" s="47">
        <f ca="1">IFERROR(__xludf.DUMMYFUNCTION("IMPORTRANGE(""https://docs.google.com/spreadsheets/d/1-uDff_7J0KD5mKrp0Vvzr7lt3OU09vwQwhkpOPPYv2Y/edit?usp=sharing"",""งบพรบ!FA29"")"),0)</f>
        <v>0</v>
      </c>
      <c r="O341" s="47">
        <f ca="1">IF(L341&gt;0,N341*100/L341,0)</f>
        <v>0</v>
      </c>
      <c r="P341" s="47">
        <f ca="1">IF(M341&gt;0,N341*100/M341,0)</f>
        <v>0</v>
      </c>
    </row>
    <row r="342" spans="1:16" ht="19.5" x14ac:dyDescent="0.3">
      <c r="A342" s="148"/>
      <c r="B342" s="149"/>
      <c r="C342" s="197" t="s">
        <v>16</v>
      </c>
      <c r="D342" s="221" t="s">
        <v>36</v>
      </c>
      <c r="E342" s="151"/>
      <c r="F342" s="151"/>
      <c r="G342" s="152"/>
      <c r="H342" s="43"/>
      <c r="I342" s="45"/>
      <c r="J342" s="45"/>
      <c r="K342" s="46"/>
      <c r="L342" s="46"/>
      <c r="M342" s="46"/>
      <c r="N342" s="46"/>
      <c r="O342" s="145"/>
      <c r="P342" s="145"/>
    </row>
    <row r="343" spans="1:16" ht="19.5" x14ac:dyDescent="0.3">
      <c r="A343" s="337"/>
      <c r="B343" s="338"/>
      <c r="C343" s="339"/>
      <c r="D343" s="338"/>
      <c r="E343" s="398" t="s">
        <v>131</v>
      </c>
      <c r="F343" s="338"/>
      <c r="G343" s="341"/>
      <c r="H343" s="342" t="s">
        <v>33</v>
      </c>
      <c r="I343" s="343">
        <v>0</v>
      </c>
      <c r="J343" s="343">
        <f ca="1">J344+J347+J348+J349</f>
        <v>472</v>
      </c>
      <c r="K343" s="344">
        <v>0</v>
      </c>
      <c r="L343" s="345"/>
      <c r="M343" s="345"/>
      <c r="N343" s="345"/>
      <c r="O343" s="345"/>
      <c r="P343" s="345"/>
    </row>
    <row r="344" spans="1:16" ht="18.75" x14ac:dyDescent="0.25">
      <c r="A344" s="227"/>
      <c r="B344" s="41"/>
      <c r="C344" s="228"/>
      <c r="D344" s="155"/>
      <c r="E344" s="159" t="s">
        <v>132</v>
      </c>
      <c r="F344" s="41"/>
      <c r="G344" s="43"/>
      <c r="H344" s="230" t="s">
        <v>33</v>
      </c>
      <c r="I344" s="169">
        <f ca="1">IFERROR(__xludf.DUMMYFUNCTION("IMPORTRANGE(""https://docs.google.com/spreadsheets/d/1eHaY18a8A9IcSdp1K8H6x8fbOy06t2VsZHhMHf-1x7Y/edit?usp=sharing"",""แผน!EK29"")"),1200)</f>
        <v>1200</v>
      </c>
      <c r="J344" s="169">
        <f ca="1">IFERROR(__xludf.DUMMYFUNCTION("IMPORTRANGE(""https://docs.google.com/spreadsheets/d/1awYsYK3VOup2i3Pq_Yjnu8DRu_mYwSBnCR2QPthd0rU/edit?usp=sharing"",""ศูนย์ยกเว้นโฉนด!D29"")"),472)</f>
        <v>472</v>
      </c>
      <c r="K344" s="47">
        <f ca="1">IF(I344&gt;0,J344*100/I344,0)</f>
        <v>39.333333333333336</v>
      </c>
      <c r="L344" s="46"/>
      <c r="M344" s="46"/>
      <c r="N344" s="46"/>
      <c r="O344" s="46"/>
      <c r="P344" s="46"/>
    </row>
    <row r="345" spans="1:16" ht="18.75" x14ac:dyDescent="0.25">
      <c r="A345" s="227"/>
      <c r="B345" s="41"/>
      <c r="C345" s="228"/>
      <c r="D345" s="155"/>
      <c r="E345" s="159" t="s">
        <v>133</v>
      </c>
      <c r="F345" s="41"/>
      <c r="G345" s="43"/>
      <c r="H345" s="346"/>
      <c r="I345" s="45"/>
      <c r="J345" s="45"/>
      <c r="K345" s="46"/>
      <c r="L345" s="46"/>
      <c r="M345" s="46"/>
      <c r="N345" s="46"/>
      <c r="O345" s="46"/>
      <c r="P345" s="46"/>
    </row>
    <row r="346" spans="1:16" ht="18.75" x14ac:dyDescent="0.25">
      <c r="A346" s="227"/>
      <c r="B346" s="41"/>
      <c r="C346" s="228"/>
      <c r="D346" s="155"/>
      <c r="E346" s="155"/>
      <c r="F346" s="159" t="s">
        <v>134</v>
      </c>
      <c r="G346" s="43"/>
      <c r="H346" s="347" t="s">
        <v>135</v>
      </c>
      <c r="I346" s="169">
        <f ca="1">IFERROR(__xludf.DUMMYFUNCTION("IMPORTRANGE(""https://docs.google.com/spreadsheets/d/1eHaY18a8A9IcSdp1K8H6x8fbOy06t2VsZHhMHf-1x7Y/edit?usp=sharing"",""แผน!EL29"")"),4)</f>
        <v>4</v>
      </c>
      <c r="J346" s="169">
        <f ca="1">IFERROR(__xludf.DUMMYFUNCTION("IMPORTRANGE(""https://docs.google.com/spreadsheets/d/1awYsYK3VOup2i3Pq_Yjnu8DRu_mYwSBnCR2QPthd0rU/edit?usp=sharing"",""ศูนย์รวม!E29"")"),2)</f>
        <v>2</v>
      </c>
      <c r="K346" s="47">
        <f ca="1">IF(I346&gt;0,J346*100/I346,0)</f>
        <v>50</v>
      </c>
      <c r="L346" s="46"/>
      <c r="M346" s="46"/>
      <c r="N346" s="46"/>
      <c r="O346" s="46"/>
      <c r="P346" s="46"/>
    </row>
    <row r="347" spans="1:16" ht="18.75" x14ac:dyDescent="0.25">
      <c r="A347" s="227"/>
      <c r="B347" s="41"/>
      <c r="C347" s="228"/>
      <c r="D347" s="155"/>
      <c r="E347" s="155"/>
      <c r="F347" s="159" t="s">
        <v>136</v>
      </c>
      <c r="G347" s="43"/>
      <c r="H347" s="347" t="s">
        <v>33</v>
      </c>
      <c r="I347" s="45"/>
      <c r="J347" s="169">
        <f ca="1">IFERROR(__xludf.DUMMYFUNCTION("IMPORTRANGE(""https://docs.google.com/spreadsheets/d/1awYsYK3VOup2i3Pq_Yjnu8DRu_mYwSBnCR2QPthd0rU/edit?usp=sharing"",""ศูนย์ยกเว้นโฉนด!F29"")"),0)</f>
        <v>0</v>
      </c>
      <c r="K347" s="46"/>
      <c r="L347" s="46"/>
      <c r="M347" s="46"/>
      <c r="N347" s="46"/>
      <c r="O347" s="46"/>
      <c r="P347" s="46"/>
    </row>
    <row r="348" spans="1:16" ht="18.75" x14ac:dyDescent="0.25">
      <c r="A348" s="227"/>
      <c r="B348" s="41"/>
      <c r="C348" s="228"/>
      <c r="D348" s="155"/>
      <c r="E348" s="159" t="s">
        <v>137</v>
      </c>
      <c r="F348" s="155"/>
      <c r="G348" s="43"/>
      <c r="H348" s="347" t="s">
        <v>33</v>
      </c>
      <c r="I348" s="45"/>
      <c r="J348" s="169">
        <f ca="1">IFERROR(__xludf.DUMMYFUNCTION("IMPORTRANGE(""https://docs.google.com/spreadsheets/d/1awYsYK3VOup2i3Pq_Yjnu8DRu_mYwSBnCR2QPthd0rU/edit?usp=sharing"",""ศูนย์ยกเว้นโฉนด!G29"")"),0)</f>
        <v>0</v>
      </c>
      <c r="K348" s="46"/>
      <c r="L348" s="46"/>
      <c r="M348" s="46"/>
      <c r="N348" s="46"/>
      <c r="O348" s="46"/>
      <c r="P348" s="46"/>
    </row>
    <row r="349" spans="1:16" ht="18.75" x14ac:dyDescent="0.25">
      <c r="A349" s="227"/>
      <c r="B349" s="41"/>
      <c r="C349" s="228"/>
      <c r="D349" s="149"/>
      <c r="E349" s="159" t="s">
        <v>138</v>
      </c>
      <c r="F349" s="155"/>
      <c r="G349" s="43"/>
      <c r="H349" s="347" t="s">
        <v>33</v>
      </c>
      <c r="I349" s="45"/>
      <c r="J349" s="169">
        <f ca="1">IFERROR(__xludf.DUMMYFUNCTION("IMPORTRANGE(""https://docs.google.com/spreadsheets/d/1awYsYK3VOup2i3Pq_Yjnu8DRu_mYwSBnCR2QPthd0rU/edit?usp=sharing"",""ศูนย์ยกเว้นโฉนด!H29"")"),0)</f>
        <v>0</v>
      </c>
      <c r="K349" s="46"/>
      <c r="L349" s="46"/>
      <c r="M349" s="46"/>
      <c r="N349" s="46"/>
      <c r="O349" s="46"/>
      <c r="P349" s="46"/>
    </row>
    <row r="350" spans="1:16" ht="16.5" x14ac:dyDescent="0.25">
      <c r="A350" s="228"/>
      <c r="B350" s="41"/>
      <c r="C350" s="228"/>
      <c r="D350" s="34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1"/>
      <c r="F350" s="41"/>
      <c r="G350" s="43"/>
      <c r="H350" s="346"/>
      <c r="I350" s="45"/>
      <c r="J350" s="45"/>
      <c r="K350" s="46"/>
      <c r="L350" s="46"/>
      <c r="M350" s="46"/>
      <c r="N350" s="46"/>
      <c r="O350" s="46"/>
      <c r="P350" s="46"/>
    </row>
    <row r="351" spans="1:16" ht="19.5" x14ac:dyDescent="0.3">
      <c r="A351" s="233"/>
      <c r="B351" s="236"/>
      <c r="C351" s="234"/>
      <c r="D351" s="236"/>
      <c r="E351" s="396" t="s">
        <v>139</v>
      </c>
      <c r="F351" s="236"/>
      <c r="G351" s="237"/>
      <c r="H351" s="238" t="s">
        <v>33</v>
      </c>
      <c r="I351" s="239">
        <v>0</v>
      </c>
      <c r="J351" s="239">
        <f ca="1">J352+J353</f>
        <v>1101</v>
      </c>
      <c r="K351" s="240">
        <v>0</v>
      </c>
      <c r="L351" s="241"/>
      <c r="M351" s="241"/>
      <c r="N351" s="241"/>
      <c r="O351" s="241"/>
      <c r="P351" s="241"/>
    </row>
    <row r="352" spans="1:16" ht="18.75" x14ac:dyDescent="0.25">
      <c r="A352" s="228"/>
      <c r="B352" s="41"/>
      <c r="C352" s="228"/>
      <c r="D352" s="155"/>
      <c r="E352" s="159" t="s">
        <v>140</v>
      </c>
      <c r="F352" s="41"/>
      <c r="G352" s="43"/>
      <c r="H352" s="142" t="s">
        <v>33</v>
      </c>
      <c r="I352" s="45"/>
      <c r="J352" s="169">
        <f ca="1">IFERROR(__xludf.DUMMYFUNCTION("IMPORTRANGE(""https://docs.google.com/spreadsheets/d/1awYsYK3VOup2i3Pq_Yjnu8DRu_mYwSBnCR2QPthd0rU/edit?usp=sharing"",""โฉนดM3!G29"")"),146)</f>
        <v>146</v>
      </c>
      <c r="K352" s="46"/>
      <c r="L352" s="46"/>
      <c r="M352" s="46"/>
      <c r="N352" s="46"/>
      <c r="O352" s="46"/>
      <c r="P352" s="46"/>
    </row>
    <row r="353" spans="1:16" ht="18.75" x14ac:dyDescent="0.25">
      <c r="A353" s="228"/>
      <c r="B353" s="41"/>
      <c r="C353" s="228"/>
      <c r="D353" s="155"/>
      <c r="E353" s="159" t="s">
        <v>141</v>
      </c>
      <c r="F353" s="41"/>
      <c r="G353" s="43"/>
      <c r="H353" s="142" t="s">
        <v>33</v>
      </c>
      <c r="I353" s="45"/>
      <c r="J353" s="169">
        <f ca="1">IFERROR(__xludf.DUMMYFUNCTION("IMPORTRANGE(""https://docs.google.com/spreadsheets/d/1awYsYK3VOup2i3Pq_Yjnu8DRu_mYwSBnCR2QPthd0rU/edit?usp=sharing"",""โฉนดM3!H29"")"),955)</f>
        <v>955</v>
      </c>
      <c r="K353" s="46"/>
      <c r="L353" s="46"/>
      <c r="M353" s="46"/>
      <c r="N353" s="46"/>
      <c r="O353" s="46"/>
      <c r="P353" s="46"/>
    </row>
    <row r="354" spans="1:16" ht="16.5" x14ac:dyDescent="0.25">
      <c r="A354" s="228"/>
      <c r="B354" s="41"/>
      <c r="C354" s="228"/>
      <c r="D354" s="34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1"/>
      <c r="F354" s="41"/>
      <c r="G354" s="43"/>
      <c r="H354" s="346"/>
      <c r="I354" s="45"/>
      <c r="J354" s="45"/>
      <c r="K354" s="46"/>
      <c r="L354" s="46"/>
      <c r="M354" s="46"/>
      <c r="N354" s="46"/>
      <c r="O354" s="46"/>
      <c r="P354" s="46"/>
    </row>
    <row r="355" spans="1:16" ht="19.5" x14ac:dyDescent="0.3">
      <c r="A355" s="323"/>
      <c r="B355" s="324" t="s">
        <v>142</v>
      </c>
      <c r="C355" s="333"/>
      <c r="D355" s="325"/>
      <c r="E355" s="325"/>
      <c r="F355" s="325"/>
      <c r="G355" s="326"/>
      <c r="H355" s="326"/>
      <c r="I355" s="350"/>
      <c r="J355" s="350"/>
      <c r="K355" s="330"/>
      <c r="L355" s="330"/>
      <c r="M355" s="330"/>
      <c r="N355" s="330"/>
      <c r="O355" s="330"/>
      <c r="P355" s="330"/>
    </row>
    <row r="356" spans="1:16" ht="19.5" x14ac:dyDescent="0.3">
      <c r="A356" s="136"/>
      <c r="B356" s="41"/>
      <c r="C356" s="197" t="s">
        <v>16</v>
      </c>
      <c r="D356" s="397" t="s">
        <v>17</v>
      </c>
      <c r="E356" s="41"/>
      <c r="F356" s="41"/>
      <c r="G356" s="43"/>
      <c r="H356" s="139" t="s">
        <v>12</v>
      </c>
      <c r="I356" s="45"/>
      <c r="J356" s="45"/>
      <c r="K356" s="46"/>
      <c r="L356" s="140">
        <f ca="1">L357+L358</f>
        <v>452160</v>
      </c>
      <c r="M356" s="140">
        <f ca="1">M357+M358</f>
        <v>369160</v>
      </c>
      <c r="N356" s="140">
        <f ca="1">N357+N358</f>
        <v>78553</v>
      </c>
      <c r="O356" s="140">
        <f ca="1">IF(L356&gt;0,N356*100/L356,0)</f>
        <v>17.37283262561925</v>
      </c>
      <c r="P356" s="140">
        <f ca="1">IF(M356&gt;0,N356*100/M356,0)</f>
        <v>21.278849279445225</v>
      </c>
    </row>
    <row r="357" spans="1:16" ht="18.75" hidden="1" x14ac:dyDescent="0.25">
      <c r="A357" s="136"/>
      <c r="B357" s="41"/>
      <c r="C357" s="41"/>
      <c r="D357" s="41"/>
      <c r="E357" s="279" t="s">
        <v>18</v>
      </c>
      <c r="F357" s="41"/>
      <c r="G357" s="43"/>
      <c r="H357" s="141" t="s">
        <v>12</v>
      </c>
      <c r="I357" s="45"/>
      <c r="J357" s="45"/>
      <c r="K357" s="46"/>
      <c r="L357" s="50">
        <f>L360+L363</f>
        <v>0</v>
      </c>
      <c r="M357" s="50">
        <f>M360+M363</f>
        <v>0</v>
      </c>
      <c r="N357" s="50">
        <f>N360+N363</f>
        <v>0</v>
      </c>
      <c r="O357" s="50">
        <f>IF(L357&gt;0,N357*100/L357,0)</f>
        <v>0</v>
      </c>
      <c r="P357" s="50">
        <f>IF(M357&gt;0,N357*100/M357,0)</f>
        <v>0</v>
      </c>
    </row>
    <row r="358" spans="1:16" ht="18.75" x14ac:dyDescent="0.25">
      <c r="A358" s="136"/>
      <c r="B358" s="41"/>
      <c r="C358" s="41"/>
      <c r="D358" s="41"/>
      <c r="E358" s="254" t="s">
        <v>19</v>
      </c>
      <c r="F358" s="41"/>
      <c r="G358" s="43"/>
      <c r="H358" s="142" t="s">
        <v>12</v>
      </c>
      <c r="I358" s="45"/>
      <c r="J358" s="45"/>
      <c r="K358" s="46"/>
      <c r="L358" s="47">
        <f ca="1">L361+L364</f>
        <v>452160</v>
      </c>
      <c r="M358" s="47">
        <f ca="1">M361+M364</f>
        <v>369160</v>
      </c>
      <c r="N358" s="47">
        <f ca="1">N361+N364</f>
        <v>78553</v>
      </c>
      <c r="O358" s="47">
        <f ca="1">IF(L358&gt;0,N358*100/L358,0)</f>
        <v>17.37283262561925</v>
      </c>
      <c r="P358" s="47">
        <f ca="1">IF(M358&gt;0,N358*100/M358,0)</f>
        <v>21.278849279445225</v>
      </c>
    </row>
    <row r="359" spans="1:16" ht="18.75" x14ac:dyDescent="0.25">
      <c r="A359" s="136"/>
      <c r="B359" s="41"/>
      <c r="C359" s="41"/>
      <c r="D359" s="42" t="s">
        <v>20</v>
      </c>
      <c r="E359" s="41"/>
      <c r="F359" s="41"/>
      <c r="G359" s="43"/>
      <c r="H359" s="143" t="s">
        <v>12</v>
      </c>
      <c r="I359" s="144"/>
      <c r="J359" s="144"/>
      <c r="K359" s="145"/>
      <c r="L359" s="47">
        <f ca="1">L360+L361</f>
        <v>452160</v>
      </c>
      <c r="M359" s="47">
        <f ca="1">M360+M361</f>
        <v>369160</v>
      </c>
      <c r="N359" s="47">
        <f ca="1">N360+N361</f>
        <v>78553</v>
      </c>
      <c r="O359" s="47">
        <f ca="1">IF(L359&gt;0,N359*100/L359,0)</f>
        <v>17.37283262561925</v>
      </c>
      <c r="P359" s="47">
        <f ca="1">IF(M359&gt;0,N359*100/M359,0)</f>
        <v>21.278849279445225</v>
      </c>
    </row>
    <row r="360" spans="1:16" ht="18.75" hidden="1" x14ac:dyDescent="0.25">
      <c r="A360" s="136"/>
      <c r="B360" s="41"/>
      <c r="C360" s="41"/>
      <c r="D360" s="41"/>
      <c r="E360" s="279" t="s">
        <v>34</v>
      </c>
      <c r="F360" s="41"/>
      <c r="G360" s="43"/>
      <c r="H360" s="146" t="s">
        <v>12</v>
      </c>
      <c r="I360" s="144"/>
      <c r="J360" s="144"/>
      <c r="K360" s="145"/>
      <c r="L360" s="50">
        <v>0</v>
      </c>
      <c r="M360" s="50">
        <v>0</v>
      </c>
      <c r="N360" s="50">
        <v>0</v>
      </c>
      <c r="O360" s="50">
        <f>IF(L360&gt;0,N360*100/L360,0)</f>
        <v>0</v>
      </c>
      <c r="P360" s="50">
        <f>IF(M360&gt;0,N360*100/M360,0)</f>
        <v>0</v>
      </c>
    </row>
    <row r="361" spans="1:16" ht="18.75" x14ac:dyDescent="0.25">
      <c r="A361" s="136"/>
      <c r="B361" s="41"/>
      <c r="C361" s="41"/>
      <c r="D361" s="41"/>
      <c r="E361" s="254" t="s">
        <v>35</v>
      </c>
      <c r="F361" s="41"/>
      <c r="G361" s="43"/>
      <c r="H361" s="143" t="s">
        <v>12</v>
      </c>
      <c r="I361" s="144"/>
      <c r="J361" s="144"/>
      <c r="K361" s="145"/>
      <c r="L361" s="47">
        <f ca="1">IFERROR(__xludf.DUMMYFUNCTION("IMPORTRANGE(""https://docs.google.com/spreadsheets/d/1-uDff_7J0KD5mKrp0Vvzr7lt3OU09vwQwhkpOPPYv2Y/edit?usp=sharing"",""งบพรบ!FC29"")"),452160)</f>
        <v>452160</v>
      </c>
      <c r="M361" s="47">
        <f ca="1">IFERROR(__xludf.DUMMYFUNCTION("IMPORTRANGE(""https://docs.google.com/spreadsheets/d/1-uDff_7J0KD5mKrp0Vvzr7lt3OU09vwQwhkpOPPYv2Y/edit?usp=sharing"",""งบพรบ!FH29"")"),369160)</f>
        <v>369160</v>
      </c>
      <c r="N361" s="47">
        <f ca="1">IFERROR(__xludf.DUMMYFUNCTION("IMPORTRANGE(""https://docs.google.com/spreadsheets/d/1-uDff_7J0KD5mKrp0Vvzr7lt3OU09vwQwhkpOPPYv2Y/edit?usp=sharing"",""งบพรบ!FJ29"")"),78553)</f>
        <v>78553</v>
      </c>
      <c r="O361" s="47">
        <f ca="1">IF(L361&gt;0,N361*100/L361,0)</f>
        <v>17.37283262561925</v>
      </c>
      <c r="P361" s="47">
        <f ca="1">IF(M361&gt;0,N361*100/M361,0)</f>
        <v>21.278849279445225</v>
      </c>
    </row>
    <row r="362" spans="1:16" ht="18.75" x14ac:dyDescent="0.25">
      <c r="A362" s="136"/>
      <c r="B362" s="41"/>
      <c r="C362" s="41"/>
      <c r="D362" s="42" t="s">
        <v>21</v>
      </c>
      <c r="E362" s="41"/>
      <c r="F362" s="41"/>
      <c r="G362" s="43"/>
      <c r="H362" s="147" t="s">
        <v>12</v>
      </c>
      <c r="I362" s="144"/>
      <c r="J362" s="144"/>
      <c r="K362" s="145"/>
      <c r="L362" s="47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</row>
    <row r="363" spans="1:16" ht="18.75" hidden="1" x14ac:dyDescent="0.25">
      <c r="A363" s="136"/>
      <c r="B363" s="41"/>
      <c r="C363" s="41"/>
      <c r="D363" s="41"/>
      <c r="E363" s="279" t="s">
        <v>18</v>
      </c>
      <c r="F363" s="41"/>
      <c r="G363" s="43"/>
      <c r="H363" s="146" t="s">
        <v>12</v>
      </c>
      <c r="I363" s="144"/>
      <c r="J363" s="144"/>
      <c r="K363" s="145"/>
      <c r="L363" s="50">
        <v>0</v>
      </c>
      <c r="M363" s="50">
        <v>0</v>
      </c>
      <c r="N363" s="50">
        <v>0</v>
      </c>
      <c r="O363" s="50">
        <f>IF(L363&gt;0,N363*100/L363,0)</f>
        <v>0</v>
      </c>
      <c r="P363" s="50">
        <f>IF(M363&gt;0,N363*100/M363,0)</f>
        <v>0</v>
      </c>
    </row>
    <row r="364" spans="1:16" ht="18.75" x14ac:dyDescent="0.25">
      <c r="A364" s="136"/>
      <c r="B364" s="41"/>
      <c r="C364" s="41"/>
      <c r="D364" s="41"/>
      <c r="E364" s="254" t="s">
        <v>19</v>
      </c>
      <c r="F364" s="41"/>
      <c r="G364" s="43"/>
      <c r="H364" s="147" t="s">
        <v>12</v>
      </c>
      <c r="I364" s="144"/>
      <c r="J364" s="144"/>
      <c r="K364" s="145"/>
      <c r="L364" s="47">
        <f ca="1">IFERROR(__xludf.DUMMYFUNCTION("IMPORTRANGE(""https://docs.google.com/spreadsheets/d/1-uDff_7J0KD5mKrp0Vvzr7lt3OU09vwQwhkpOPPYv2Y/edit?usp=sharing"",""งบพรบ!FF29"")"),0)</f>
        <v>0</v>
      </c>
      <c r="M364" s="47">
        <f ca="1">IFERROR(__xludf.DUMMYFUNCTION("IMPORTRANGE(""https://docs.google.com/spreadsheets/d/1-uDff_7J0KD5mKrp0Vvzr7lt3OU09vwQwhkpOPPYv2Y/edit?usp=sharing"",""งบพรบ!FI29"")"),0)</f>
        <v>0</v>
      </c>
      <c r="N364" s="47">
        <f ca="1">IFERROR(__xludf.DUMMYFUNCTION("IMPORTRANGE(""https://docs.google.com/spreadsheets/d/1-uDff_7J0KD5mKrp0Vvzr7lt3OU09vwQwhkpOPPYv2Y/edit?usp=sharing"",""งบพรบ!FK29"")"),0)</f>
        <v>0</v>
      </c>
      <c r="O364" s="47">
        <f ca="1">IF(L364&gt;0,N364*100/L364,0)</f>
        <v>0</v>
      </c>
      <c r="P364" s="47">
        <f ca="1">IF(M364&gt;0,N364*100/M364,0)</f>
        <v>0</v>
      </c>
    </row>
    <row r="365" spans="1:16" ht="19.5" x14ac:dyDescent="0.3">
      <c r="A365" s="233"/>
      <c r="B365" s="234"/>
      <c r="C365" s="236"/>
      <c r="D365" s="396" t="s">
        <v>143</v>
      </c>
      <c r="E365" s="236"/>
      <c r="F365" s="236"/>
      <c r="G365" s="237"/>
      <c r="H365" s="245" t="s">
        <v>33</v>
      </c>
      <c r="I365" s="239">
        <f ca="1">I371</f>
        <v>141</v>
      </c>
      <c r="J365" s="239">
        <f ca="1">J371</f>
        <v>10</v>
      </c>
      <c r="K365" s="240">
        <f ca="1">IF(I365&gt;0,J365*100/I365,0)</f>
        <v>7.0921985815602833</v>
      </c>
      <c r="L365" s="241"/>
      <c r="M365" s="241"/>
      <c r="N365" s="241"/>
      <c r="O365" s="241"/>
      <c r="P365" s="241"/>
    </row>
    <row r="366" spans="1:16" ht="19.5" x14ac:dyDescent="0.3">
      <c r="A366" s="148"/>
      <c r="B366" s="149"/>
      <c r="C366" s="197" t="s">
        <v>16</v>
      </c>
      <c r="D366" s="395" t="s">
        <v>36</v>
      </c>
      <c r="E366" s="151"/>
      <c r="F366" s="151"/>
      <c r="G366" s="152"/>
      <c r="H366" s="153"/>
      <c r="I366" s="45"/>
      <c r="J366" s="45"/>
      <c r="K366" s="46"/>
      <c r="L366" s="145"/>
      <c r="M366" s="145"/>
      <c r="N366" s="145"/>
      <c r="O366" s="145"/>
      <c r="P366" s="145"/>
    </row>
    <row r="367" spans="1:16" ht="18.75" x14ac:dyDescent="0.25">
      <c r="A367" s="148"/>
      <c r="B367" s="155"/>
      <c r="C367" s="149"/>
      <c r="D367" s="155"/>
      <c r="E367" s="154" t="s">
        <v>144</v>
      </c>
      <c r="F367" s="155"/>
      <c r="G367" s="153"/>
      <c r="H367" s="164" t="s">
        <v>33</v>
      </c>
      <c r="I367" s="169">
        <v>0</v>
      </c>
      <c r="J367" s="169">
        <f ca="1">IFERROR(__xludf.DUMMYFUNCTION("IMPORTRANGE(""https://docs.google.com/spreadsheets/d/1tdoBKaGub7dwA3U6UFTqxio9LNnvDCQjHKmttSEBsFQ/edit?usp=sharing"",""จัดที่ดิน!AB29"")"),82)</f>
        <v>82</v>
      </c>
      <c r="K367" s="47">
        <f>IF(I367&gt;0,J367*100/I367,0)</f>
        <v>0</v>
      </c>
      <c r="L367" s="145"/>
      <c r="M367" s="145"/>
      <c r="N367" s="145"/>
      <c r="O367" s="145"/>
      <c r="P367" s="145"/>
    </row>
    <row r="368" spans="1:16" ht="18.75" x14ac:dyDescent="0.25">
      <c r="A368" s="148"/>
      <c r="B368" s="155"/>
      <c r="C368" s="149"/>
      <c r="D368" s="155"/>
      <c r="E368" s="155"/>
      <c r="F368" s="155"/>
      <c r="G368" s="153"/>
      <c r="H368" s="164" t="s">
        <v>44</v>
      </c>
      <c r="I368" s="169">
        <f ca="1">IFERROR(__xludf.DUMMYFUNCTION("IMPORTRANGE(""https://docs.google.com/spreadsheets/d/1eHaY18a8A9IcSdp1K8H6x8fbOy06t2VsZHhMHf-1x7Y/edit?usp=sharing"",""แผน!EW29"")"),1295)</f>
        <v>1295</v>
      </c>
      <c r="J368" s="351">
        <f ca="1">IFERROR(__xludf.DUMMYFUNCTION("IMPORTRANGE(""https://docs.google.com/spreadsheets/d/1tdoBKaGub7dwA3U6UFTqxio9LNnvDCQjHKmttSEBsFQ/edit?usp=sharing"",""จัดที่ดิน!AC29"")"),356.76)</f>
        <v>356.76</v>
      </c>
      <c r="K368" s="47">
        <f ca="1">IF(I368&gt;0,J368*100/I368,0)</f>
        <v>27.54903474903475</v>
      </c>
      <c r="L368" s="145"/>
      <c r="M368" s="145"/>
      <c r="N368" s="145"/>
      <c r="O368" s="145"/>
      <c r="P368" s="145"/>
    </row>
    <row r="369" spans="1:16" ht="18.75" x14ac:dyDescent="0.25">
      <c r="A369" s="148"/>
      <c r="B369" s="155"/>
      <c r="C369" s="149"/>
      <c r="D369" s="155"/>
      <c r="E369" s="154" t="s">
        <v>145</v>
      </c>
      <c r="F369" s="155"/>
      <c r="G369" s="153"/>
      <c r="H369" s="251" t="s">
        <v>33</v>
      </c>
      <c r="I369" s="169">
        <f ca="1">IFERROR(__xludf.DUMMYFUNCTION("IMPORTRANGE(""https://docs.google.com/spreadsheets/d/1eHaY18a8A9IcSdp1K8H6x8fbOy06t2VsZHhMHf-1x7Y/edit?usp=sharing"",""แผน!EX29"")"),223)</f>
        <v>223</v>
      </c>
      <c r="J369" s="169">
        <f ca="1">IFERROR(__xludf.DUMMYFUNCTION("IMPORTRANGE(""https://docs.google.com/spreadsheets/d/1tdoBKaGub7dwA3U6UFTqxio9LNnvDCQjHKmttSEBsFQ/edit?usp=sharing"",""จัดที่ดิน!AD29"")"),12)</f>
        <v>12</v>
      </c>
      <c r="K369" s="47">
        <f ca="1">IF(I369&gt;0,J369*100/I369,0)</f>
        <v>5.3811659192825116</v>
      </c>
      <c r="L369" s="145"/>
      <c r="M369" s="145"/>
      <c r="N369" s="145"/>
      <c r="O369" s="145"/>
      <c r="P369" s="145"/>
    </row>
    <row r="370" spans="1:16" ht="18.75" x14ac:dyDescent="0.25">
      <c r="A370" s="148"/>
      <c r="B370" s="155"/>
      <c r="C370" s="149"/>
      <c r="D370" s="155"/>
      <c r="E370" s="155"/>
      <c r="F370" s="155"/>
      <c r="G370" s="153"/>
      <c r="H370" s="251" t="s">
        <v>44</v>
      </c>
      <c r="I370" s="169">
        <v>0</v>
      </c>
      <c r="J370" s="351">
        <f ca="1">IFERROR(__xludf.DUMMYFUNCTION("IMPORTRANGE(""https://docs.google.com/spreadsheets/d/1tdoBKaGub7dwA3U6UFTqxio9LNnvDCQjHKmttSEBsFQ/edit?usp=sharing"",""จัดที่ดิน!AE29"")"),71.57)</f>
        <v>71.569999999999993</v>
      </c>
      <c r="K370" s="47">
        <f>IF(I370&gt;0,J370*100/I370,0)</f>
        <v>0</v>
      </c>
      <c r="L370" s="145"/>
      <c r="M370" s="145"/>
      <c r="N370" s="145"/>
      <c r="O370" s="145"/>
      <c r="P370" s="145"/>
    </row>
    <row r="371" spans="1:16" ht="18.75" x14ac:dyDescent="0.25">
      <c r="A371" s="148"/>
      <c r="B371" s="155"/>
      <c r="C371" s="149"/>
      <c r="D371" s="155"/>
      <c r="E371" s="154" t="s">
        <v>146</v>
      </c>
      <c r="F371" s="155"/>
      <c r="G371" s="153"/>
      <c r="H371" s="251" t="s">
        <v>33</v>
      </c>
      <c r="I371" s="169">
        <f ca="1">IFERROR(__xludf.DUMMYFUNCTION("IMPORTRANGE(""https://docs.google.com/spreadsheets/d/1eHaY18a8A9IcSdp1K8H6x8fbOy06t2VsZHhMHf-1x7Y/edit?usp=sharing"",""แผน!EY29"")"),141)</f>
        <v>141</v>
      </c>
      <c r="J371" s="169">
        <f ca="1">IFERROR(__xludf.DUMMYFUNCTION("IMPORTRANGE(""https://docs.google.com/spreadsheets/d/1tdoBKaGub7dwA3U6UFTqxio9LNnvDCQjHKmttSEBsFQ/edit?usp=sharing"",""จัดที่ดิน!AF29"")"),10)</f>
        <v>10</v>
      </c>
      <c r="K371" s="47">
        <f ca="1">IF(I371&gt;0,J371*100/I371,0)</f>
        <v>7.0921985815602833</v>
      </c>
      <c r="L371" s="145"/>
      <c r="M371" s="145"/>
      <c r="N371" s="145"/>
      <c r="O371" s="145"/>
      <c r="P371" s="145"/>
    </row>
    <row r="372" spans="1:16" ht="18.75" x14ac:dyDescent="0.25">
      <c r="A372" s="148"/>
      <c r="B372" s="155"/>
      <c r="C372" s="149"/>
      <c r="D372" s="155"/>
      <c r="E372" s="155"/>
      <c r="F372" s="155"/>
      <c r="G372" s="153"/>
      <c r="H372" s="251" t="s">
        <v>44</v>
      </c>
      <c r="I372" s="169">
        <v>0</v>
      </c>
      <c r="J372" s="351">
        <f ca="1">IFERROR(__xludf.DUMMYFUNCTION("IMPORTRANGE(""https://docs.google.com/spreadsheets/d/1tdoBKaGub7dwA3U6UFTqxio9LNnvDCQjHKmttSEBsFQ/edit?usp=sharing"",""จัดที่ดิน!AG29"")"),38.56)</f>
        <v>38.56</v>
      </c>
      <c r="K372" s="47">
        <f>IF(I372&gt;0,J372*100/I372,0)</f>
        <v>0</v>
      </c>
      <c r="L372" s="145"/>
      <c r="M372" s="145"/>
      <c r="N372" s="145"/>
      <c r="O372" s="145"/>
      <c r="P372" s="145"/>
    </row>
    <row r="373" spans="1:16" ht="16.5" x14ac:dyDescent="0.25">
      <c r="A373" s="2"/>
      <c r="B373" s="1"/>
      <c r="C373" s="2"/>
      <c r="D373" s="352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4"/>
      <c r="H373" s="54"/>
      <c r="I373" s="56"/>
      <c r="J373" s="56"/>
      <c r="K373" s="57"/>
      <c r="L373" s="57"/>
      <c r="M373" s="57"/>
      <c r="N373" s="57"/>
      <c r="O373" s="57"/>
      <c r="P373" s="57"/>
    </row>
    <row r="374" spans="1:16" ht="19.5" hidden="1" x14ac:dyDescent="0.3">
      <c r="A374" s="353" t="s">
        <v>147</v>
      </c>
      <c r="B374" s="354"/>
      <c r="C374" s="354"/>
      <c r="D374" s="354"/>
      <c r="E374" s="355"/>
      <c r="F374" s="355"/>
      <c r="G374" s="355"/>
      <c r="H374" s="355"/>
      <c r="I374" s="356"/>
      <c r="J374" s="356"/>
      <c r="K374" s="357"/>
      <c r="L374" s="357"/>
      <c r="M374" s="357"/>
      <c r="N374" s="357"/>
      <c r="O374" s="357"/>
      <c r="P374" s="358"/>
    </row>
    <row r="375" spans="1:16" ht="19.5" hidden="1" x14ac:dyDescent="0.3">
      <c r="A375" s="359" t="s">
        <v>148</v>
      </c>
      <c r="B375" s="360"/>
      <c r="C375" s="360"/>
      <c r="D375" s="361"/>
      <c r="E375" s="360"/>
      <c r="F375" s="360"/>
      <c r="G375" s="360"/>
      <c r="H375" s="362"/>
      <c r="I375" s="363"/>
      <c r="J375" s="363"/>
      <c r="K375" s="364"/>
      <c r="L375" s="364"/>
      <c r="M375" s="364"/>
      <c r="N375" s="364"/>
      <c r="O375" s="364"/>
      <c r="P375" s="364"/>
    </row>
    <row r="376" spans="1:16" ht="19.5" hidden="1" x14ac:dyDescent="0.3">
      <c r="A376" s="365"/>
      <c r="B376" s="366" t="s">
        <v>149</v>
      </c>
      <c r="C376" s="367"/>
      <c r="D376" s="368"/>
      <c r="E376" s="368"/>
      <c r="F376" s="368"/>
      <c r="G376" s="369"/>
      <c r="H376" s="370" t="s">
        <v>54</v>
      </c>
      <c r="I376" s="371">
        <f>I388</f>
        <v>0</v>
      </c>
      <c r="J376" s="371">
        <f>J388</f>
        <v>0</v>
      </c>
      <c r="K376" s="372">
        <f>IF(I376&gt;0,J376*100/I376,0)</f>
        <v>0</v>
      </c>
      <c r="L376" s="373"/>
      <c r="M376" s="373"/>
      <c r="N376" s="373"/>
      <c r="O376" s="373"/>
      <c r="P376" s="373"/>
    </row>
    <row r="377" spans="1:16" ht="19.5" hidden="1" x14ac:dyDescent="0.3">
      <c r="A377" s="136"/>
      <c r="B377" s="41"/>
      <c r="C377" s="260" t="s">
        <v>16</v>
      </c>
      <c r="D377" s="261" t="s">
        <v>17</v>
      </c>
      <c r="E377" s="41"/>
      <c r="F377" s="41"/>
      <c r="G377" s="43"/>
      <c r="H377" s="277" t="s">
        <v>12</v>
      </c>
      <c r="I377" s="45"/>
      <c r="J377" s="45"/>
      <c r="K377" s="46"/>
      <c r="L377" s="263">
        <f ca="1">L378+L379</f>
        <v>0</v>
      </c>
      <c r="M377" s="263">
        <f ca="1">M378+M379</f>
        <v>0</v>
      </c>
      <c r="N377" s="263">
        <f ca="1">N378+N379</f>
        <v>0</v>
      </c>
      <c r="O377" s="263">
        <f ca="1">IF(L377&gt;0,N377*100/L377,0)</f>
        <v>0</v>
      </c>
      <c r="P377" s="263">
        <f ca="1">IF(M377&gt;0,N377*100/M377,0)</f>
        <v>0</v>
      </c>
    </row>
    <row r="378" spans="1:16" ht="18.75" hidden="1" x14ac:dyDescent="0.25">
      <c r="A378" s="136"/>
      <c r="B378" s="41"/>
      <c r="C378" s="41"/>
      <c r="D378" s="41"/>
      <c r="E378" s="279" t="s">
        <v>18</v>
      </c>
      <c r="F378" s="41"/>
      <c r="G378" s="43"/>
      <c r="H378" s="141" t="s">
        <v>12</v>
      </c>
      <c r="I378" s="45"/>
      <c r="J378" s="45"/>
      <c r="K378" s="46"/>
      <c r="L378" s="50">
        <f>L381+L384</f>
        <v>0</v>
      </c>
      <c r="M378" s="50">
        <f>M381+M384</f>
        <v>0</v>
      </c>
      <c r="N378" s="50">
        <f>N381+N384</f>
        <v>0</v>
      </c>
      <c r="O378" s="50">
        <f>IF(L378&gt;0,N378*100/L378,0)</f>
        <v>0</v>
      </c>
      <c r="P378" s="50">
        <f>IF(M378&gt;0,N378*100/M378,0)</f>
        <v>0</v>
      </c>
    </row>
    <row r="379" spans="1:16" ht="18.75" hidden="1" x14ac:dyDescent="0.25">
      <c r="A379" s="136"/>
      <c r="B379" s="41"/>
      <c r="C379" s="41"/>
      <c r="D379" s="41"/>
      <c r="E379" s="279" t="s">
        <v>19</v>
      </c>
      <c r="F379" s="41"/>
      <c r="G379" s="43"/>
      <c r="H379" s="141" t="s">
        <v>12</v>
      </c>
      <c r="I379" s="45"/>
      <c r="J379" s="45"/>
      <c r="K379" s="46"/>
      <c r="L379" s="50">
        <f ca="1">L382+L385</f>
        <v>0</v>
      </c>
      <c r="M379" s="50">
        <f ca="1">M382+M385</f>
        <v>0</v>
      </c>
      <c r="N379" s="50">
        <f ca="1">N382+N385</f>
        <v>0</v>
      </c>
      <c r="O379" s="50">
        <f ca="1">IF(L379&gt;0,N379*100/L379,0)</f>
        <v>0</v>
      </c>
      <c r="P379" s="50">
        <f ca="1">IF(M379&gt;0,N379*100/M379,0)</f>
        <v>0</v>
      </c>
    </row>
    <row r="380" spans="1:16" ht="18.75" hidden="1" x14ac:dyDescent="0.25">
      <c r="A380" s="136"/>
      <c r="B380" s="41"/>
      <c r="C380" s="41"/>
      <c r="D380" s="278" t="s">
        <v>20</v>
      </c>
      <c r="E380" s="41"/>
      <c r="F380" s="41"/>
      <c r="G380" s="43"/>
      <c r="H380" s="146" t="s">
        <v>12</v>
      </c>
      <c r="I380" s="144"/>
      <c r="J380" s="144"/>
      <c r="K380" s="145"/>
      <c r="L380" s="50">
        <f ca="1">L381+L382</f>
        <v>0</v>
      </c>
      <c r="M380" s="50">
        <f ca="1">M381+M382</f>
        <v>0</v>
      </c>
      <c r="N380" s="50">
        <f ca="1">N381+N382</f>
        <v>0</v>
      </c>
      <c r="O380" s="50">
        <f ca="1">IF(L380&gt;0,N380*100/L380,0)</f>
        <v>0</v>
      </c>
      <c r="P380" s="50">
        <f ca="1">IF(M380&gt;0,N380*100/M380,0)</f>
        <v>0</v>
      </c>
    </row>
    <row r="381" spans="1:16" ht="18.75" hidden="1" x14ac:dyDescent="0.25">
      <c r="A381" s="136"/>
      <c r="B381" s="41"/>
      <c r="C381" s="41"/>
      <c r="D381" s="41"/>
      <c r="E381" s="279" t="s">
        <v>34</v>
      </c>
      <c r="F381" s="41"/>
      <c r="G381" s="43"/>
      <c r="H381" s="146" t="s">
        <v>12</v>
      </c>
      <c r="I381" s="144"/>
      <c r="J381" s="144"/>
      <c r="K381" s="145"/>
      <c r="L381" s="50">
        <v>0</v>
      </c>
      <c r="M381" s="50">
        <v>0</v>
      </c>
      <c r="N381" s="50">
        <v>0</v>
      </c>
      <c r="O381" s="50">
        <f>IF(L381&gt;0,N381*100/L381,0)</f>
        <v>0</v>
      </c>
      <c r="P381" s="50">
        <f>IF(M381&gt;0,N381*100/M381,0)</f>
        <v>0</v>
      </c>
    </row>
    <row r="382" spans="1:16" ht="18.75" hidden="1" x14ac:dyDescent="0.25">
      <c r="A382" s="136"/>
      <c r="B382" s="41"/>
      <c r="C382" s="41"/>
      <c r="D382" s="41"/>
      <c r="E382" s="279" t="s">
        <v>35</v>
      </c>
      <c r="F382" s="41"/>
      <c r="G382" s="43"/>
      <c r="H382" s="146" t="s">
        <v>12</v>
      </c>
      <c r="I382" s="144"/>
      <c r="J382" s="144"/>
      <c r="K382" s="145"/>
      <c r="L382" s="50">
        <f ca="1">IFERROR(__xludf.DUMMYFUNCTION("IMPORTRANGE(""https://docs.google.com/spreadsheets/d/1-uDff_7J0KD5mKrp0Vvzr7lt3OU09vwQwhkpOPPYv2Y/edit?usp=sharing"",""งบพรบ!FM29"")"),0)</f>
        <v>0</v>
      </c>
      <c r="M382" s="50">
        <f ca="1">IFERROR(__xludf.DUMMYFUNCTION("IMPORTRANGE(""https://docs.google.com/spreadsheets/d/1-uDff_7J0KD5mKrp0Vvzr7lt3OU09vwQwhkpOPPYv2Y/edit?usp=sharing"",""งบพรบ!FR29"")"),0)</f>
        <v>0</v>
      </c>
      <c r="N382" s="50">
        <f ca="1">IFERROR(__xludf.DUMMYFUNCTION("IMPORTRANGE(""https://docs.google.com/spreadsheets/d/1-uDff_7J0KD5mKrp0Vvzr7lt3OU09vwQwhkpOPPYv2Y/edit?usp=sharing"",""งบพรบ!FT29"")"),0)</f>
        <v>0</v>
      </c>
      <c r="O382" s="50">
        <f ca="1">IF(L382&gt;0,N382*100/L382,0)</f>
        <v>0</v>
      </c>
      <c r="P382" s="50">
        <f ca="1">IF(M382&gt;0,N382*100/M382,0)</f>
        <v>0</v>
      </c>
    </row>
    <row r="383" spans="1:16" ht="18.75" hidden="1" x14ac:dyDescent="0.25">
      <c r="A383" s="136"/>
      <c r="B383" s="41"/>
      <c r="C383" s="41"/>
      <c r="D383" s="278" t="s">
        <v>21</v>
      </c>
      <c r="E383" s="41"/>
      <c r="F383" s="41"/>
      <c r="G383" s="43"/>
      <c r="H383" s="199" t="s">
        <v>12</v>
      </c>
      <c r="I383" s="144"/>
      <c r="J383" s="144"/>
      <c r="K383" s="145"/>
      <c r="L383" s="50">
        <f ca="1">L384+L385</f>
        <v>0</v>
      </c>
      <c r="M383" s="50">
        <f ca="1">M384+M385</f>
        <v>0</v>
      </c>
      <c r="N383" s="50">
        <f ca="1">N384+N385</f>
        <v>0</v>
      </c>
      <c r="O383" s="50">
        <f ca="1">IF(L383&gt;0,N383*100/L383,0)</f>
        <v>0</v>
      </c>
      <c r="P383" s="50">
        <f ca="1">IF(M383&gt;0,N383*100/M383,0)</f>
        <v>0</v>
      </c>
    </row>
    <row r="384" spans="1:16" ht="18.75" hidden="1" x14ac:dyDescent="0.25">
      <c r="A384" s="136"/>
      <c r="B384" s="41"/>
      <c r="C384" s="41"/>
      <c r="D384" s="41"/>
      <c r="E384" s="279" t="s">
        <v>18</v>
      </c>
      <c r="F384" s="41"/>
      <c r="G384" s="43"/>
      <c r="H384" s="146" t="s">
        <v>12</v>
      </c>
      <c r="I384" s="144"/>
      <c r="J384" s="144"/>
      <c r="K384" s="145"/>
      <c r="L384" s="50">
        <v>0</v>
      </c>
      <c r="M384" s="50">
        <v>0</v>
      </c>
      <c r="N384" s="50">
        <v>0</v>
      </c>
      <c r="O384" s="50">
        <f>IF(L384&gt;0,N384*100/L384,0)</f>
        <v>0</v>
      </c>
      <c r="P384" s="50">
        <f>IF(M384&gt;0,N384*100/M384,0)</f>
        <v>0</v>
      </c>
    </row>
    <row r="385" spans="1:16" ht="18.75" hidden="1" x14ac:dyDescent="0.25">
      <c r="A385" s="136"/>
      <c r="B385" s="41"/>
      <c r="C385" s="41"/>
      <c r="D385" s="41"/>
      <c r="E385" s="279" t="s">
        <v>19</v>
      </c>
      <c r="F385" s="41"/>
      <c r="G385" s="43"/>
      <c r="H385" s="199" t="s">
        <v>12</v>
      </c>
      <c r="I385" s="144"/>
      <c r="J385" s="144"/>
      <c r="K385" s="145"/>
      <c r="L385" s="50">
        <f ca="1">IFERROR(__xludf.DUMMYFUNCTION("IMPORTRANGE(""https://docs.google.com/spreadsheets/d/1-uDff_7J0KD5mKrp0Vvzr7lt3OU09vwQwhkpOPPYv2Y/edit?usp=sharing"",""งบพรบ!FP29"")"),0)</f>
        <v>0</v>
      </c>
      <c r="M385" s="50">
        <f ca="1">IFERROR(__xludf.DUMMYFUNCTION("IMPORTRANGE(""https://docs.google.com/spreadsheets/d/1-uDff_7J0KD5mKrp0Vvzr7lt3OU09vwQwhkpOPPYv2Y/edit?usp=sharing"",""งบพรบ!FS29"")"),0)</f>
        <v>0</v>
      </c>
      <c r="N385" s="50">
        <f ca="1">IFERROR(__xludf.DUMMYFUNCTION("IMPORTRANGE(""https://docs.google.com/spreadsheets/d/1-uDff_7J0KD5mKrp0Vvzr7lt3OU09vwQwhkpOPPYv2Y/edit?usp=sharing"",""งบพรบ!FU29"")"),0)</f>
        <v>0</v>
      </c>
      <c r="O385" s="50">
        <f ca="1">IF(L385&gt;0,N385*100/L385,0)</f>
        <v>0</v>
      </c>
      <c r="P385" s="50">
        <f ca="1">IF(M385&gt;0,N385*100/M385,0)</f>
        <v>0</v>
      </c>
    </row>
    <row r="386" spans="1:16" ht="19.5" hidden="1" x14ac:dyDescent="0.3">
      <c r="A386" s="148"/>
      <c r="B386" s="149"/>
      <c r="C386" s="260" t="s">
        <v>16</v>
      </c>
      <c r="D386" s="394" t="s">
        <v>36</v>
      </c>
      <c r="E386" s="151"/>
      <c r="F386" s="151"/>
      <c r="G386" s="152"/>
      <c r="H386" s="153"/>
      <c r="I386" s="144"/>
      <c r="J386" s="45"/>
      <c r="K386" s="46"/>
      <c r="L386" s="46"/>
      <c r="M386" s="46"/>
      <c r="N386" s="46"/>
      <c r="O386" s="145"/>
      <c r="P386" s="145"/>
    </row>
    <row r="387" spans="1:16" ht="18.75" hidden="1" x14ac:dyDescent="0.25">
      <c r="A387" s="227"/>
      <c r="B387" s="41"/>
      <c r="C387" s="228"/>
      <c r="D387" s="267" t="s">
        <v>150</v>
      </c>
      <c r="E387" s="149"/>
      <c r="F387" s="41"/>
      <c r="G387" s="43"/>
      <c r="H387" s="232" t="s">
        <v>9</v>
      </c>
      <c r="I387" s="200">
        <v>0</v>
      </c>
      <c r="J387" s="201">
        <v>0</v>
      </c>
      <c r="K387" s="50">
        <f>IF(I387&gt;0,J387*100/I387,0)</f>
        <v>0</v>
      </c>
      <c r="L387" s="46"/>
      <c r="M387" s="46"/>
      <c r="N387" s="46"/>
      <c r="O387" s="46"/>
      <c r="P387" s="46"/>
    </row>
    <row r="388" spans="1:16" ht="18.75" hidden="1" x14ac:dyDescent="0.25">
      <c r="A388" s="374"/>
      <c r="B388" s="1"/>
      <c r="C388" s="2"/>
      <c r="D388" s="375" t="s">
        <v>151</v>
      </c>
      <c r="E388" s="281"/>
      <c r="F388" s="1"/>
      <c r="G388" s="54"/>
      <c r="H388" s="376" t="s">
        <v>54</v>
      </c>
      <c r="I388" s="205">
        <v>0</v>
      </c>
      <c r="J388" s="206">
        <v>0</v>
      </c>
      <c r="K388" s="207">
        <f>IF(I388&gt;0,J388*100/I388,0)</f>
        <v>0</v>
      </c>
      <c r="L388" s="57"/>
      <c r="M388" s="57"/>
      <c r="N388" s="57"/>
      <c r="O388" s="57"/>
      <c r="P388" s="57"/>
    </row>
    <row r="389" spans="1:16" ht="12.75" x14ac:dyDescent="0.2">
      <c r="A389" s="168"/>
      <c r="B389" s="168"/>
      <c r="C389" s="168"/>
      <c r="D389" s="168"/>
      <c r="E389" s="168"/>
      <c r="F389" s="168"/>
      <c r="G389" s="168"/>
      <c r="H389" s="168"/>
      <c r="I389" s="168"/>
      <c r="J389" s="168"/>
      <c r="K389" s="168"/>
      <c r="L389" s="168"/>
      <c r="M389" s="168"/>
      <c r="N389" s="168"/>
      <c r="O389" s="168"/>
      <c r="P389" s="168"/>
    </row>
    <row r="390" spans="1:16" ht="16.5" x14ac:dyDescent="0.25">
      <c r="A390" s="377" t="s">
        <v>152</v>
      </c>
      <c r="B390" s="168"/>
      <c r="C390" s="168"/>
      <c r="D390" s="168"/>
      <c r="E390" s="168"/>
      <c r="F390" s="168"/>
      <c r="G390" s="168"/>
      <c r="H390" s="168"/>
      <c r="I390" s="168"/>
      <c r="J390" s="168"/>
      <c r="K390" s="168"/>
      <c r="L390" s="168"/>
      <c r="M390" s="168"/>
      <c r="N390" s="168"/>
      <c r="O390" s="168"/>
      <c r="P390" s="168"/>
    </row>
    <row r="391" spans="1:16" ht="16.5" x14ac:dyDescent="0.25">
      <c r="A391" s="377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8"/>
      <c r="C391" s="168"/>
      <c r="D391" s="168"/>
      <c r="E391" s="168"/>
      <c r="F391" s="168"/>
      <c r="G391" s="168"/>
      <c r="H391" s="168"/>
      <c r="I391" s="168"/>
      <c r="J391" s="168"/>
      <c r="K391" s="168"/>
      <c r="L391" s="168"/>
      <c r="M391" s="168"/>
      <c r="N391" s="168"/>
      <c r="O391" s="168"/>
      <c r="P391" s="16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2" orientation="portrait" r:id="rId1"/>
  <headerFooter>
    <oddFooter>&amp;Cหน้า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39868-3450-4880-B851-4DBF68543A78}">
  <sheetPr>
    <outlinePr summaryBelow="0" summaryRight="0"/>
  </sheetPr>
  <dimension ref="A1:P391"/>
  <sheetViews>
    <sheetView tabSelected="1" view="pageBreakPreview" zoomScale="60" zoomScaleNormal="68" workbookViewId="0">
      <pane xSplit="8" ySplit="6" topLeftCell="I41" activePane="bottomRight" state="frozen"/>
      <selection activeCell="P44" sqref="P44"/>
      <selection pane="topRight" activeCell="P44" sqref="P44"/>
      <selection pane="bottomLeft" activeCell="P44" sqref="P44"/>
      <selection pane="bottomRight" activeCell="P44" sqref="P4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3" width="21.5703125" bestFit="1" customWidth="1"/>
    <col min="14" max="14" width="19" bestFit="1" customWidth="1"/>
    <col min="15" max="15" width="17.5703125" customWidth="1"/>
    <col min="16" max="16" width="22.42578125" bestFit="1" customWidth="1"/>
  </cols>
  <sheetData>
    <row r="1" spans="1:16" ht="19.5" x14ac:dyDescent="0.3">
      <c r="A1" s="386" t="s">
        <v>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</row>
    <row r="2" spans="1:16" ht="19.5" x14ac:dyDescent="0.3">
      <c r="A2" s="386" t="s">
        <v>174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</row>
    <row r="3" spans="1:16" ht="19.5" x14ac:dyDescent="0.3">
      <c r="A3" s="386" t="s">
        <v>175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388" t="s">
        <v>2</v>
      </c>
      <c r="B5" s="387"/>
      <c r="C5" s="387"/>
      <c r="D5" s="387"/>
      <c r="E5" s="387"/>
      <c r="F5" s="387"/>
      <c r="G5" s="389"/>
      <c r="H5" s="4" t="s">
        <v>3</v>
      </c>
      <c r="I5" s="391" t="s">
        <v>4</v>
      </c>
      <c r="J5" s="379"/>
      <c r="K5" s="380"/>
      <c r="L5" s="392" t="s">
        <v>5</v>
      </c>
      <c r="M5" s="380"/>
      <c r="N5" s="393" t="s">
        <v>6</v>
      </c>
      <c r="O5" s="379"/>
      <c r="P5" s="380"/>
    </row>
    <row r="6" spans="1:16" ht="19.5" x14ac:dyDescent="0.3">
      <c r="A6" s="390"/>
      <c r="B6" s="379"/>
      <c r="C6" s="379"/>
      <c r="D6" s="379"/>
      <c r="E6" s="379"/>
      <c r="F6" s="379"/>
      <c r="G6" s="380"/>
      <c r="H6" s="5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466" t="s">
        <v>14</v>
      </c>
    </row>
    <row r="7" spans="1:16" ht="12.75" hidden="1" x14ac:dyDescent="0.2">
      <c r="A7" s="381"/>
      <c r="B7" s="379"/>
      <c r="C7" s="379"/>
      <c r="D7" s="379"/>
      <c r="E7" s="379"/>
      <c r="F7" s="379"/>
      <c r="G7" s="380"/>
      <c r="H7" s="12"/>
      <c r="I7" s="13"/>
      <c r="J7" s="13"/>
      <c r="K7" s="14"/>
      <c r="L7" s="14"/>
      <c r="M7" s="14"/>
      <c r="N7" s="14"/>
      <c r="O7" s="14"/>
      <c r="P7" s="14"/>
    </row>
    <row r="8" spans="1:16" ht="12.75" hidden="1" x14ac:dyDescent="0.2">
      <c r="A8" s="15"/>
      <c r="B8" s="16"/>
      <c r="C8" s="16"/>
      <c r="D8" s="16"/>
      <c r="E8" s="16"/>
      <c r="F8" s="16"/>
      <c r="G8" s="17"/>
      <c r="H8" s="17"/>
      <c r="I8" s="18"/>
      <c r="J8" s="18"/>
      <c r="K8" s="19"/>
      <c r="L8" s="19"/>
      <c r="M8" s="19"/>
      <c r="N8" s="19"/>
      <c r="O8" s="19"/>
      <c r="P8" s="19"/>
    </row>
    <row r="9" spans="1:16" ht="12.75" hidden="1" x14ac:dyDescent="0.2">
      <c r="A9" s="15"/>
      <c r="B9" s="16"/>
      <c r="C9" s="16"/>
      <c r="D9" s="16"/>
      <c r="E9" s="16"/>
      <c r="F9" s="16"/>
      <c r="G9" s="17"/>
      <c r="H9" s="17"/>
      <c r="I9" s="18"/>
      <c r="J9" s="18"/>
      <c r="K9" s="19"/>
      <c r="L9" s="19"/>
      <c r="M9" s="19"/>
      <c r="N9" s="19"/>
      <c r="O9" s="19"/>
      <c r="P9" s="19"/>
    </row>
    <row r="10" spans="1:16" ht="12.75" hidden="1" x14ac:dyDescent="0.2">
      <c r="A10" s="15"/>
      <c r="B10" s="16"/>
      <c r="C10" s="16"/>
      <c r="D10" s="16"/>
      <c r="E10" s="16"/>
      <c r="F10" s="16"/>
      <c r="G10" s="17"/>
      <c r="H10" s="17"/>
      <c r="I10" s="18"/>
      <c r="J10" s="18"/>
      <c r="K10" s="19"/>
      <c r="L10" s="19"/>
      <c r="M10" s="19"/>
      <c r="N10" s="19"/>
      <c r="O10" s="19"/>
      <c r="P10" s="19"/>
    </row>
    <row r="11" spans="1:16" ht="12.75" hidden="1" x14ac:dyDescent="0.2">
      <c r="A11" s="15"/>
      <c r="B11" s="16"/>
      <c r="C11" s="16"/>
      <c r="D11" s="16"/>
      <c r="E11" s="16"/>
      <c r="F11" s="16"/>
      <c r="G11" s="17"/>
      <c r="H11" s="17"/>
      <c r="I11" s="18"/>
      <c r="J11" s="18"/>
      <c r="K11" s="19"/>
      <c r="L11" s="19"/>
      <c r="M11" s="19"/>
      <c r="N11" s="19"/>
      <c r="O11" s="19"/>
      <c r="P11" s="19"/>
    </row>
    <row r="12" spans="1:16" ht="12.75" hidden="1" x14ac:dyDescent="0.2">
      <c r="A12" s="15"/>
      <c r="B12" s="16"/>
      <c r="C12" s="16"/>
      <c r="D12" s="16"/>
      <c r="E12" s="16"/>
      <c r="F12" s="16"/>
      <c r="G12" s="17"/>
      <c r="H12" s="17"/>
      <c r="I12" s="18"/>
      <c r="J12" s="18"/>
      <c r="K12" s="19"/>
      <c r="L12" s="19"/>
      <c r="M12" s="19"/>
      <c r="N12" s="19"/>
      <c r="O12" s="19"/>
      <c r="P12" s="19"/>
    </row>
    <row r="13" spans="1:16" ht="12.75" hidden="1" x14ac:dyDescent="0.2">
      <c r="A13" s="15"/>
      <c r="B13" s="16"/>
      <c r="C13" s="16"/>
      <c r="D13" s="16"/>
      <c r="E13" s="16"/>
      <c r="F13" s="16"/>
      <c r="G13" s="17"/>
      <c r="H13" s="17"/>
      <c r="I13" s="18"/>
      <c r="J13" s="18"/>
      <c r="K13" s="19"/>
      <c r="L13" s="19"/>
      <c r="M13" s="19"/>
      <c r="N13" s="19"/>
      <c r="O13" s="19"/>
      <c r="P13" s="19"/>
    </row>
    <row r="14" spans="1:16" ht="12.75" hidden="1" x14ac:dyDescent="0.2">
      <c r="A14" s="15"/>
      <c r="B14" s="16"/>
      <c r="C14" s="16"/>
      <c r="D14" s="16"/>
      <c r="E14" s="16"/>
      <c r="F14" s="16"/>
      <c r="G14" s="17"/>
      <c r="H14" s="17"/>
      <c r="I14" s="18"/>
      <c r="J14" s="18"/>
      <c r="K14" s="19"/>
      <c r="L14" s="19"/>
      <c r="M14" s="19"/>
      <c r="N14" s="19"/>
      <c r="O14" s="19"/>
      <c r="P14" s="19"/>
    </row>
    <row r="15" spans="1:16" ht="12.75" hidden="1" x14ac:dyDescent="0.2">
      <c r="A15" s="15"/>
      <c r="B15" s="16"/>
      <c r="C15" s="16"/>
      <c r="D15" s="16"/>
      <c r="E15" s="16"/>
      <c r="F15" s="16"/>
      <c r="G15" s="17"/>
      <c r="H15" s="17"/>
      <c r="I15" s="18"/>
      <c r="J15" s="18"/>
      <c r="K15" s="19"/>
      <c r="L15" s="19"/>
      <c r="M15" s="19"/>
      <c r="N15" s="19"/>
      <c r="O15" s="19"/>
      <c r="P15" s="19"/>
    </row>
    <row r="16" spans="1:16" ht="12.75" hidden="1" x14ac:dyDescent="0.2">
      <c r="A16" s="20"/>
      <c r="B16" s="21"/>
      <c r="C16" s="21"/>
      <c r="D16" s="21"/>
      <c r="E16" s="21"/>
      <c r="F16" s="21"/>
      <c r="G16" s="12"/>
      <c r="H16" s="12"/>
      <c r="I16" s="13"/>
      <c r="J16" s="13"/>
      <c r="K16" s="14"/>
      <c r="L16" s="14"/>
      <c r="M16" s="14"/>
      <c r="N16" s="14"/>
      <c r="O16" s="14"/>
      <c r="P16" s="14"/>
    </row>
    <row r="17" spans="1:16" ht="19.5" x14ac:dyDescent="0.3">
      <c r="A17" s="378" t="s">
        <v>15</v>
      </c>
      <c r="B17" s="379"/>
      <c r="C17" s="379"/>
      <c r="D17" s="379"/>
      <c r="E17" s="379"/>
      <c r="F17" s="379"/>
      <c r="G17" s="380"/>
      <c r="H17" s="22"/>
      <c r="I17" s="23"/>
      <c r="J17" s="23"/>
      <c r="K17" s="24"/>
      <c r="L17" s="24"/>
      <c r="M17" s="24"/>
      <c r="N17" s="24"/>
      <c r="O17" s="24"/>
      <c r="P17" s="24"/>
    </row>
    <row r="18" spans="1:16" ht="19.5" x14ac:dyDescent="0.3">
      <c r="A18" s="25"/>
      <c r="B18" s="26"/>
      <c r="C18" s="132" t="s">
        <v>16</v>
      </c>
      <c r="D18" s="28" t="s">
        <v>17</v>
      </c>
      <c r="E18" s="26"/>
      <c r="F18" s="26"/>
      <c r="G18" s="29"/>
      <c r="H18" s="30" t="s">
        <v>12</v>
      </c>
      <c r="I18" s="31"/>
      <c r="J18" s="31"/>
      <c r="K18" s="32"/>
      <c r="L18" s="33">
        <f ca="1">L19+L20</f>
        <v>2515080</v>
      </c>
      <c r="M18" s="33">
        <f ca="1">M19+M20</f>
        <v>2145440</v>
      </c>
      <c r="N18" s="33">
        <f ca="1">N19+N20</f>
        <v>737608.9</v>
      </c>
      <c r="O18" s="33">
        <f ca="1">IF(L18&gt;0,N18*100/L18,0)</f>
        <v>29.327452804682157</v>
      </c>
      <c r="P18" s="33">
        <f ca="1">IF(M18&gt;0,N18*100/M18,0)</f>
        <v>34.380308934297858</v>
      </c>
    </row>
    <row r="19" spans="1:16" ht="18.75" hidden="1" x14ac:dyDescent="0.25">
      <c r="A19" s="25"/>
      <c r="B19" s="26"/>
      <c r="C19" s="26"/>
      <c r="D19" s="26"/>
      <c r="E19" s="34" t="s">
        <v>18</v>
      </c>
      <c r="F19" s="26"/>
      <c r="G19" s="29"/>
      <c r="H19" s="35" t="s">
        <v>12</v>
      </c>
      <c r="I19" s="31"/>
      <c r="J19" s="31"/>
      <c r="K19" s="32"/>
      <c r="L19" s="36">
        <f>L22+L25</f>
        <v>0</v>
      </c>
      <c r="M19" s="36">
        <f>M22+M25</f>
        <v>0</v>
      </c>
      <c r="N19" s="36">
        <f>N22+N25</f>
        <v>0</v>
      </c>
      <c r="O19" s="36">
        <f>IF(L19&gt;0,N19*100/L19,0)</f>
        <v>0</v>
      </c>
      <c r="P19" s="36">
        <f>IF(M19&gt;0,N19*100/M19,0)</f>
        <v>0</v>
      </c>
    </row>
    <row r="20" spans="1:16" ht="18.75" x14ac:dyDescent="0.25">
      <c r="A20" s="25"/>
      <c r="B20" s="26"/>
      <c r="C20" s="26"/>
      <c r="D20" s="26"/>
      <c r="E20" s="37" t="s">
        <v>19</v>
      </c>
      <c r="F20" s="26"/>
      <c r="G20" s="29"/>
      <c r="H20" s="38" t="s">
        <v>12</v>
      </c>
      <c r="I20" s="31"/>
      <c r="J20" s="31"/>
      <c r="K20" s="32"/>
      <c r="L20" s="39">
        <f ca="1">L23+L26</f>
        <v>2515080</v>
      </c>
      <c r="M20" s="39">
        <f ca="1">M23+M26</f>
        <v>2145440</v>
      </c>
      <c r="N20" s="39">
        <f ca="1">N23+N26</f>
        <v>737608.9</v>
      </c>
      <c r="O20" s="39">
        <f ca="1">IF(L20&gt;0,N20*100/L20,0)</f>
        <v>29.327452804682157</v>
      </c>
      <c r="P20" s="39">
        <f ca="1">IF(M20&gt;0,N20*100/M20,0)</f>
        <v>34.380308934297858</v>
      </c>
    </row>
    <row r="21" spans="1:16" ht="18.75" x14ac:dyDescent="0.25">
      <c r="A21" s="40"/>
      <c r="B21" s="41"/>
      <c r="C21" s="41"/>
      <c r="D21" s="42" t="s">
        <v>20</v>
      </c>
      <c r="E21" s="41"/>
      <c r="F21" s="41"/>
      <c r="G21" s="43"/>
      <c r="H21" s="44" t="s">
        <v>12</v>
      </c>
      <c r="I21" s="45"/>
      <c r="J21" s="45"/>
      <c r="K21" s="46"/>
      <c r="L21" s="47">
        <f ca="1">L22+L23</f>
        <v>2515080</v>
      </c>
      <c r="M21" s="47">
        <f ca="1">M22+M23</f>
        <v>2145440</v>
      </c>
      <c r="N21" s="47">
        <f ca="1">N22+N23</f>
        <v>737608.9</v>
      </c>
      <c r="O21" s="47">
        <f ca="1">IF(L21&gt;0,N21*100/L21,0)</f>
        <v>29.327452804682157</v>
      </c>
      <c r="P21" s="47">
        <f ca="1">IF(M21&gt;0,N21*100/M21,0)</f>
        <v>34.380308934297858</v>
      </c>
    </row>
    <row r="22" spans="1:16" ht="18.75" hidden="1" x14ac:dyDescent="0.25">
      <c r="A22" s="40"/>
      <c r="B22" s="41"/>
      <c r="C22" s="41"/>
      <c r="D22" s="41"/>
      <c r="E22" s="279" t="s">
        <v>18</v>
      </c>
      <c r="F22" s="41"/>
      <c r="G22" s="43"/>
      <c r="H22" s="49" t="s">
        <v>12</v>
      </c>
      <c r="I22" s="45"/>
      <c r="J22" s="45"/>
      <c r="K22" s="46"/>
      <c r="L22" s="50">
        <f>L48+L63+L76+L98+L129+L143+L161+L190+L177+L270+L286+L307+L324+L337+L360+L381</f>
        <v>0</v>
      </c>
      <c r="M22" s="50">
        <f>M48+M63+M76+M98+M129+M143+M161+M190+M177+M270+M286+M307+M324+M337+M360+M381</f>
        <v>0</v>
      </c>
      <c r="N22" s="50">
        <f>N48+N63+N76+N98+N129+N143+N161+N190+N177+N270+N286+N307+N324+N337+N360+N381</f>
        <v>0</v>
      </c>
      <c r="O22" s="50">
        <f>IF(L22&gt;0,N22*100/L22,0)</f>
        <v>0</v>
      </c>
      <c r="P22" s="50">
        <f>IF(M22&gt;0,N22*100/M22,0)</f>
        <v>0</v>
      </c>
    </row>
    <row r="23" spans="1:16" ht="18.75" x14ac:dyDescent="0.25">
      <c r="A23" s="40"/>
      <c r="B23" s="41"/>
      <c r="C23" s="41"/>
      <c r="D23" s="41"/>
      <c r="E23" s="254" t="s">
        <v>19</v>
      </c>
      <c r="F23" s="41"/>
      <c r="G23" s="43"/>
      <c r="H23" s="44" t="s">
        <v>12</v>
      </c>
      <c r="I23" s="45"/>
      <c r="J23" s="45"/>
      <c r="K23" s="46"/>
      <c r="L23" s="47">
        <f ca="1">L49+L64+L77+L99+L130+L144+L162+L191+L178+L271+L287+L308+L325+L338+L361+L382</f>
        <v>2515080</v>
      </c>
      <c r="M23" s="47">
        <f ca="1">M49+M64+M77+M99+M130+M144+M162+M191+M178+M271+M287+M308+M325+M338+M361+M382</f>
        <v>2145440</v>
      </c>
      <c r="N23" s="47">
        <f ca="1">N49+N64+N77+N99+N130+N144+N162+N191+N178+N271+N287+N308+N325+N338+N361+N382</f>
        <v>737608.9</v>
      </c>
      <c r="O23" s="47">
        <f ca="1">IF(L23&gt;0,N23*100/L23,0)</f>
        <v>29.327452804682157</v>
      </c>
      <c r="P23" s="47">
        <f ca="1">IF(M23&gt;0,N23*100/M23,0)</f>
        <v>34.380308934297858</v>
      </c>
    </row>
    <row r="24" spans="1:16" ht="18.75" x14ac:dyDescent="0.25">
      <c r="A24" s="40"/>
      <c r="B24" s="41"/>
      <c r="C24" s="41"/>
      <c r="D24" s="42" t="s">
        <v>21</v>
      </c>
      <c r="E24" s="41"/>
      <c r="F24" s="41"/>
      <c r="G24" s="43"/>
      <c r="H24" s="44" t="s">
        <v>12</v>
      </c>
      <c r="I24" s="45"/>
      <c r="J24" s="45"/>
      <c r="K24" s="46"/>
      <c r="L24" s="47">
        <f ca="1">L25+L26</f>
        <v>0</v>
      </c>
      <c r="M24" s="47">
        <f ca="1">M25+M26</f>
        <v>0</v>
      </c>
      <c r="N24" s="47">
        <f ca="1">N25+N26</f>
        <v>0</v>
      </c>
      <c r="O24" s="47">
        <f ca="1">IF(L24&gt;0,N24*100/L24,0)</f>
        <v>0</v>
      </c>
      <c r="P24" s="47">
        <f ca="1">IF(M24&gt;0,N24*100/M24,0)</f>
        <v>0</v>
      </c>
    </row>
    <row r="25" spans="1:16" ht="18.75" hidden="1" x14ac:dyDescent="0.25">
      <c r="A25" s="40"/>
      <c r="B25" s="41"/>
      <c r="C25" s="41"/>
      <c r="D25" s="41"/>
      <c r="E25" s="279" t="s">
        <v>18</v>
      </c>
      <c r="F25" s="41"/>
      <c r="G25" s="43"/>
      <c r="H25" s="49" t="s">
        <v>12</v>
      </c>
      <c r="I25" s="45"/>
      <c r="J25" s="45"/>
      <c r="K25" s="46"/>
      <c r="L25" s="50">
        <f>L51+L66+L79+L101+L132+L146+L164+L193+L180+L273+L289+L310+L327+L340+L363+L384</f>
        <v>0</v>
      </c>
      <c r="M25" s="50">
        <f>M51+M66+M79+M101+M132+M146+M164+M193+M180+M273+M289+M310+M327+M340+M363+M384</f>
        <v>0</v>
      </c>
      <c r="N25" s="50">
        <f>N51+N66+N79+N101+N132+N146+N164+N193+N180+N273+N289+N310+N327+N340+N363+N384</f>
        <v>0</v>
      </c>
      <c r="O25" s="50">
        <f>IF(L25&gt;0,N25*100/L25,0)</f>
        <v>0</v>
      </c>
      <c r="P25" s="50">
        <f>IF(M25&gt;0,N25*100/M25,0)</f>
        <v>0</v>
      </c>
    </row>
    <row r="26" spans="1:16" ht="18.75" x14ac:dyDescent="0.25">
      <c r="A26" s="40"/>
      <c r="B26" s="41"/>
      <c r="C26" s="41"/>
      <c r="D26" s="41"/>
      <c r="E26" s="254" t="s">
        <v>19</v>
      </c>
      <c r="F26" s="41"/>
      <c r="G26" s="43"/>
      <c r="H26" s="44" t="s">
        <v>12</v>
      </c>
      <c r="I26" s="45"/>
      <c r="J26" s="45"/>
      <c r="K26" s="46"/>
      <c r="L26" s="47">
        <f ca="1">L52+L67+L80+L102+L133+L147+L165+L194+L181+L274+L290+L311+L328+L341+L364+L385</f>
        <v>0</v>
      </c>
      <c r="M26" s="47">
        <f ca="1">M52+M67+M80+M102+M133+M147+M165+M194+M181+M274+M290+M311+M328+M341+M364+M385</f>
        <v>0</v>
      </c>
      <c r="N26" s="47">
        <f ca="1">N52+N67+N80+N102+N133+N147+N165+N194+N181+N274+N290+N311+N328+N341+N364+N385</f>
        <v>0</v>
      </c>
      <c r="O26" s="47">
        <f ca="1">IF(L26&gt;0,N26*100/L26,0)</f>
        <v>0</v>
      </c>
      <c r="P26" s="47">
        <f ca="1">IF(M26&gt;0,N26*100/M26,0)</f>
        <v>0</v>
      </c>
    </row>
    <row r="27" spans="1:16" ht="18.75" hidden="1" x14ac:dyDescent="0.25">
      <c r="A27" s="40"/>
      <c r="B27" s="41"/>
      <c r="C27" s="41"/>
      <c r="D27" s="42" t="s">
        <v>22</v>
      </c>
      <c r="E27" s="41"/>
      <c r="F27" s="41"/>
      <c r="G27" s="43"/>
      <c r="H27" s="44" t="s">
        <v>12</v>
      </c>
      <c r="I27" s="45"/>
      <c r="J27" s="45"/>
      <c r="K27" s="46"/>
      <c r="L27" s="47"/>
      <c r="M27" s="47"/>
      <c r="N27" s="47"/>
      <c r="O27" s="47"/>
      <c r="P27" s="47"/>
    </row>
    <row r="28" spans="1:16" ht="18.75" hidden="1" x14ac:dyDescent="0.25">
      <c r="A28" s="40"/>
      <c r="B28" s="41"/>
      <c r="C28" s="41"/>
      <c r="D28" s="41"/>
      <c r="E28" s="279" t="s">
        <v>18</v>
      </c>
      <c r="F28" s="41"/>
      <c r="G28" s="43"/>
      <c r="H28" s="49" t="s">
        <v>12</v>
      </c>
      <c r="I28" s="45"/>
      <c r="J28" s="45"/>
      <c r="K28" s="46"/>
      <c r="L28" s="50"/>
      <c r="M28" s="50"/>
      <c r="N28" s="50"/>
      <c r="O28" s="50"/>
      <c r="P28" s="50"/>
    </row>
    <row r="29" spans="1:16" ht="18.75" hidden="1" x14ac:dyDescent="0.25">
      <c r="A29" s="52"/>
      <c r="B29" s="1"/>
      <c r="C29" s="1"/>
      <c r="D29" s="1"/>
      <c r="E29" s="53" t="s">
        <v>19</v>
      </c>
      <c r="F29" s="1"/>
      <c r="G29" s="54"/>
      <c r="H29" s="55" t="s">
        <v>12</v>
      </c>
      <c r="I29" s="56"/>
      <c r="J29" s="56"/>
      <c r="K29" s="57"/>
      <c r="L29" s="58"/>
      <c r="M29" s="58"/>
      <c r="N29" s="58"/>
      <c r="O29" s="58"/>
      <c r="P29" s="58"/>
    </row>
    <row r="30" spans="1:16" ht="12.75" hidden="1" x14ac:dyDescent="0.2">
      <c r="A30" s="381"/>
      <c r="B30" s="379"/>
      <c r="C30" s="379"/>
      <c r="D30" s="379"/>
      <c r="E30" s="379"/>
      <c r="F30" s="379"/>
      <c r="G30" s="380"/>
      <c r="H30" s="12"/>
      <c r="I30" s="13"/>
      <c r="J30" s="13"/>
      <c r="K30" s="14"/>
      <c r="L30" s="14"/>
      <c r="M30" s="14"/>
      <c r="N30" s="14"/>
      <c r="O30" s="14"/>
      <c r="P30" s="14"/>
    </row>
    <row r="31" spans="1:16" ht="12.75" hidden="1" x14ac:dyDescent="0.2">
      <c r="A31" s="15"/>
      <c r="B31" s="16"/>
      <c r="C31" s="16"/>
      <c r="D31" s="16"/>
      <c r="E31" s="16"/>
      <c r="F31" s="16"/>
      <c r="G31" s="17"/>
      <c r="H31" s="17"/>
      <c r="I31" s="18"/>
      <c r="J31" s="18"/>
      <c r="K31" s="19"/>
      <c r="L31" s="19"/>
      <c r="M31" s="19"/>
      <c r="N31" s="19"/>
      <c r="O31" s="19"/>
      <c r="P31" s="19"/>
    </row>
    <row r="32" spans="1:16" ht="12.75" hidden="1" x14ac:dyDescent="0.2">
      <c r="A32" s="15"/>
      <c r="B32" s="16"/>
      <c r="C32" s="16"/>
      <c r="D32" s="16"/>
      <c r="E32" s="16"/>
      <c r="F32" s="16"/>
      <c r="G32" s="17"/>
      <c r="H32" s="17"/>
      <c r="I32" s="18"/>
      <c r="J32" s="18"/>
      <c r="K32" s="19"/>
      <c r="L32" s="19"/>
      <c r="M32" s="19"/>
      <c r="N32" s="19"/>
      <c r="O32" s="19"/>
      <c r="P32" s="19"/>
    </row>
    <row r="33" spans="1:16" ht="12.75" hidden="1" x14ac:dyDescent="0.2">
      <c r="A33" s="15"/>
      <c r="B33" s="16"/>
      <c r="C33" s="16"/>
      <c r="D33" s="16"/>
      <c r="E33" s="16"/>
      <c r="F33" s="16"/>
      <c r="G33" s="17"/>
      <c r="H33" s="17"/>
      <c r="I33" s="18"/>
      <c r="J33" s="18"/>
      <c r="K33" s="19"/>
      <c r="L33" s="19"/>
      <c r="M33" s="19"/>
      <c r="N33" s="19"/>
      <c r="O33" s="19"/>
      <c r="P33" s="19"/>
    </row>
    <row r="34" spans="1:16" ht="12.75" hidden="1" x14ac:dyDescent="0.2">
      <c r="A34" s="15"/>
      <c r="B34" s="16"/>
      <c r="C34" s="16"/>
      <c r="D34" s="16"/>
      <c r="E34" s="16"/>
      <c r="F34" s="16"/>
      <c r="G34" s="17"/>
      <c r="H34" s="17"/>
      <c r="I34" s="18"/>
      <c r="J34" s="18"/>
      <c r="K34" s="19"/>
      <c r="L34" s="19"/>
      <c r="M34" s="19"/>
      <c r="N34" s="19"/>
      <c r="O34" s="19"/>
      <c r="P34" s="19"/>
    </row>
    <row r="35" spans="1:16" ht="12.75" hidden="1" x14ac:dyDescent="0.2">
      <c r="A35" s="15"/>
      <c r="B35" s="16"/>
      <c r="C35" s="16"/>
      <c r="D35" s="16"/>
      <c r="E35" s="16"/>
      <c r="F35" s="16"/>
      <c r="G35" s="17"/>
      <c r="H35" s="17"/>
      <c r="I35" s="18"/>
      <c r="J35" s="18"/>
      <c r="K35" s="19"/>
      <c r="L35" s="19"/>
      <c r="M35" s="19"/>
      <c r="N35" s="19"/>
      <c r="O35" s="19"/>
      <c r="P35" s="19"/>
    </row>
    <row r="36" spans="1:16" ht="12.75" hidden="1" x14ac:dyDescent="0.2">
      <c r="A36" s="15"/>
      <c r="B36" s="16"/>
      <c r="C36" s="16"/>
      <c r="D36" s="16"/>
      <c r="E36" s="16"/>
      <c r="F36" s="16"/>
      <c r="G36" s="17"/>
      <c r="H36" s="17"/>
      <c r="I36" s="18"/>
      <c r="J36" s="18"/>
      <c r="K36" s="19"/>
      <c r="L36" s="19"/>
      <c r="M36" s="19"/>
      <c r="N36" s="19"/>
      <c r="O36" s="19"/>
      <c r="P36" s="19"/>
    </row>
    <row r="37" spans="1:16" ht="12.75" hidden="1" x14ac:dyDescent="0.2">
      <c r="A37" s="15"/>
      <c r="B37" s="16"/>
      <c r="C37" s="16"/>
      <c r="D37" s="16"/>
      <c r="E37" s="16"/>
      <c r="F37" s="16"/>
      <c r="G37" s="17"/>
      <c r="H37" s="17"/>
      <c r="I37" s="18"/>
      <c r="J37" s="18"/>
      <c r="K37" s="19"/>
      <c r="L37" s="19"/>
      <c r="M37" s="19"/>
      <c r="N37" s="19"/>
      <c r="O37" s="19"/>
      <c r="P37" s="19"/>
    </row>
    <row r="38" spans="1:16" ht="12.75" hidden="1" x14ac:dyDescent="0.2">
      <c r="A38" s="15"/>
      <c r="B38" s="16"/>
      <c r="C38" s="16"/>
      <c r="D38" s="16"/>
      <c r="E38" s="16"/>
      <c r="F38" s="16"/>
      <c r="G38" s="17"/>
      <c r="H38" s="17"/>
      <c r="I38" s="18"/>
      <c r="J38" s="18"/>
      <c r="K38" s="19"/>
      <c r="L38" s="19"/>
      <c r="M38" s="19"/>
      <c r="N38" s="19"/>
      <c r="O38" s="19"/>
      <c r="P38" s="19"/>
    </row>
    <row r="39" spans="1:16" ht="12.75" hidden="1" x14ac:dyDescent="0.2">
      <c r="A39" s="20"/>
      <c r="B39" s="21"/>
      <c r="C39" s="21"/>
      <c r="D39" s="21"/>
      <c r="E39" s="21"/>
      <c r="F39" s="21"/>
      <c r="G39" s="12"/>
      <c r="H39" s="12"/>
      <c r="I39" s="13"/>
      <c r="J39" s="13"/>
      <c r="K39" s="14"/>
      <c r="L39" s="14"/>
      <c r="M39" s="14"/>
      <c r="N39" s="14"/>
      <c r="O39" s="14"/>
      <c r="P39" s="14"/>
    </row>
    <row r="40" spans="1:16" ht="19.5" hidden="1" x14ac:dyDescent="0.3">
      <c r="A40" s="59" t="s">
        <v>23</v>
      </c>
      <c r="B40" s="60"/>
      <c r="C40" s="60"/>
      <c r="D40" s="60"/>
      <c r="E40" s="60"/>
      <c r="F40" s="60"/>
      <c r="G40" s="61"/>
      <c r="H40" s="61"/>
      <c r="I40" s="62"/>
      <c r="J40" s="62"/>
      <c r="K40" s="63"/>
      <c r="L40" s="64">
        <f ca="1">L44+L59+L72+L94+L125+L139+L157+L173+L186+L266+L282+L303+L320+L333+L356</f>
        <v>2515080</v>
      </c>
      <c r="M40" s="64">
        <f ca="1">M44+M59+M72+M94+M125+M139+M157+M173+M186+M266+M282+M303+M320+M333+M356</f>
        <v>2145440</v>
      </c>
      <c r="N40" s="64">
        <f ca="1">N44+N59+N72+N94+N125+N139+N157+N173+N186+N266+N282+N303+N320+N333+N356</f>
        <v>737608.9</v>
      </c>
      <c r="O40" s="64">
        <f ca="1">IF(L40&gt;0,N40*100/L40,0)</f>
        <v>29.327452804682157</v>
      </c>
      <c r="P40" s="64">
        <f ca="1">IF(M40&gt;0,N40*100/M40,0)</f>
        <v>34.380308934297858</v>
      </c>
    </row>
    <row r="41" spans="1:16" ht="19.5" x14ac:dyDescent="0.3">
      <c r="A41" s="65" t="s">
        <v>24</v>
      </c>
      <c r="B41" s="66"/>
      <c r="C41" s="66"/>
      <c r="D41" s="66"/>
      <c r="E41" s="66"/>
      <c r="F41" s="66"/>
      <c r="G41" s="66"/>
      <c r="H41" s="66"/>
      <c r="I41" s="67"/>
      <c r="J41" s="67"/>
      <c r="K41" s="68"/>
      <c r="L41" s="68"/>
      <c r="M41" s="68"/>
      <c r="N41" s="68"/>
      <c r="O41" s="68"/>
      <c r="P41" s="69"/>
    </row>
    <row r="42" spans="1:16" ht="19.5" x14ac:dyDescent="0.3">
      <c r="A42" s="70"/>
      <c r="B42" s="71" t="s">
        <v>25</v>
      </c>
      <c r="C42" s="70"/>
      <c r="D42" s="70"/>
      <c r="E42" s="70"/>
      <c r="F42" s="70"/>
      <c r="G42" s="72"/>
      <c r="H42" s="72"/>
      <c r="I42" s="73"/>
      <c r="J42" s="73"/>
      <c r="K42" s="74"/>
      <c r="L42" s="74"/>
      <c r="M42" s="74"/>
      <c r="N42" s="74"/>
      <c r="O42" s="74"/>
      <c r="P42" s="74"/>
    </row>
    <row r="43" spans="1:16" ht="12.75" hidden="1" x14ac:dyDescent="0.2">
      <c r="A43" s="15"/>
      <c r="B43" s="16"/>
      <c r="C43" s="16"/>
      <c r="D43" s="16"/>
      <c r="E43" s="16"/>
      <c r="F43" s="16"/>
      <c r="G43" s="17"/>
      <c r="H43" s="17"/>
      <c r="I43" s="18"/>
      <c r="J43" s="18"/>
      <c r="K43" s="19"/>
      <c r="L43" s="19"/>
      <c r="M43" s="19"/>
      <c r="N43" s="19"/>
      <c r="O43" s="19"/>
      <c r="P43" s="19"/>
    </row>
    <row r="44" spans="1:16" ht="19.5" x14ac:dyDescent="0.3">
      <c r="A44" s="75"/>
      <c r="B44" s="76"/>
      <c r="C44" s="77" t="s">
        <v>16</v>
      </c>
      <c r="D44" s="404" t="s">
        <v>17</v>
      </c>
      <c r="E44" s="76"/>
      <c r="F44" s="76"/>
      <c r="G44" s="79"/>
      <c r="H44" s="80" t="s">
        <v>12</v>
      </c>
      <c r="I44" s="81"/>
      <c r="J44" s="81"/>
      <c r="K44" s="82"/>
      <c r="L44" s="83">
        <f ca="1">L45+L46</f>
        <v>535970</v>
      </c>
      <c r="M44" s="83">
        <f ca="1">M45+M46</f>
        <v>535970</v>
      </c>
      <c r="N44" s="83">
        <f ca="1">N45+N46</f>
        <v>230070</v>
      </c>
      <c r="O44" s="83">
        <f ca="1">IF(L44&gt;0,N44*100/L44,0)</f>
        <v>42.925910032277926</v>
      </c>
      <c r="P44" s="83">
        <f ca="1">IF(M44&gt;0,N44*100/M44,0)</f>
        <v>42.925910032277926</v>
      </c>
    </row>
    <row r="45" spans="1:16" ht="18.75" hidden="1" x14ac:dyDescent="0.25">
      <c r="A45" s="75"/>
      <c r="B45" s="76"/>
      <c r="C45" s="76"/>
      <c r="D45" s="76"/>
      <c r="E45" s="84" t="s">
        <v>18</v>
      </c>
      <c r="F45" s="76"/>
      <c r="G45" s="79"/>
      <c r="H45" s="85" t="s">
        <v>12</v>
      </c>
      <c r="I45" s="81"/>
      <c r="J45" s="81"/>
      <c r="K45" s="82"/>
      <c r="L45" s="86">
        <f>L48+L51</f>
        <v>0</v>
      </c>
      <c r="M45" s="86">
        <f>M48+M51</f>
        <v>0</v>
      </c>
      <c r="N45" s="86">
        <f>N48+N51</f>
        <v>0</v>
      </c>
      <c r="O45" s="86">
        <f>IF(L45&gt;0,N45*100/L45,0)</f>
        <v>0</v>
      </c>
      <c r="P45" s="86">
        <f>IF(M45&gt;0,N45*100/M45,0)</f>
        <v>0</v>
      </c>
    </row>
    <row r="46" spans="1:16" ht="18.75" x14ac:dyDescent="0.25">
      <c r="A46" s="75"/>
      <c r="B46" s="76"/>
      <c r="C46" s="76"/>
      <c r="D46" s="76"/>
      <c r="E46" s="87" t="s">
        <v>19</v>
      </c>
      <c r="F46" s="76"/>
      <c r="G46" s="79"/>
      <c r="H46" s="88" t="s">
        <v>12</v>
      </c>
      <c r="I46" s="81"/>
      <c r="J46" s="81"/>
      <c r="K46" s="82"/>
      <c r="L46" s="89">
        <f ca="1">L49+L52</f>
        <v>535970</v>
      </c>
      <c r="M46" s="89">
        <f ca="1">M49+M52</f>
        <v>535970</v>
      </c>
      <c r="N46" s="89">
        <f ca="1">N49+N52</f>
        <v>230070</v>
      </c>
      <c r="O46" s="89">
        <f ca="1">IF(L46&gt;0,N46*100/L46,0)</f>
        <v>42.925910032277926</v>
      </c>
      <c r="P46" s="89">
        <f ca="1">IF(M46&gt;0,N46*100/M46,0)</f>
        <v>42.925910032277926</v>
      </c>
    </row>
    <row r="47" spans="1:16" ht="18.75" x14ac:dyDescent="0.25">
      <c r="A47" s="40"/>
      <c r="B47" s="41"/>
      <c r="C47" s="41"/>
      <c r="D47" s="42" t="s">
        <v>20</v>
      </c>
      <c r="E47" s="41"/>
      <c r="F47" s="41"/>
      <c r="G47" s="43"/>
      <c r="H47" s="44" t="s">
        <v>12</v>
      </c>
      <c r="I47" s="45"/>
      <c r="J47" s="45"/>
      <c r="K47" s="46"/>
      <c r="L47" s="47">
        <f ca="1">L48+L49</f>
        <v>535970</v>
      </c>
      <c r="M47" s="47">
        <f ca="1">M48+M49</f>
        <v>535970</v>
      </c>
      <c r="N47" s="47">
        <f ca="1">N48+N49</f>
        <v>230070</v>
      </c>
      <c r="O47" s="47">
        <f ca="1">IF(L47&gt;0,N47*100/L47,0)</f>
        <v>42.925910032277926</v>
      </c>
      <c r="P47" s="47">
        <f ca="1">IF(M47&gt;0,N47*100/M47,0)</f>
        <v>42.925910032277926</v>
      </c>
    </row>
    <row r="48" spans="1:16" ht="18.75" hidden="1" x14ac:dyDescent="0.25">
      <c r="A48" s="40"/>
      <c r="B48" s="41"/>
      <c r="C48" s="41"/>
      <c r="D48" s="41"/>
      <c r="E48" s="279" t="s">
        <v>18</v>
      </c>
      <c r="F48" s="41"/>
      <c r="G48" s="43"/>
      <c r="H48" s="49" t="s">
        <v>12</v>
      </c>
      <c r="I48" s="45"/>
      <c r="J48" s="45"/>
      <c r="K48" s="46"/>
      <c r="L48" s="50">
        <v>0</v>
      </c>
      <c r="M48" s="50">
        <v>0</v>
      </c>
      <c r="N48" s="50">
        <v>0</v>
      </c>
      <c r="O48" s="50">
        <f>IF(L48&gt;0,N48*100/L48,0)</f>
        <v>0</v>
      </c>
      <c r="P48" s="50">
        <f>IF(M48&gt;0,N48*100/M48,0)</f>
        <v>0</v>
      </c>
    </row>
    <row r="49" spans="1:16" ht="18.75" x14ac:dyDescent="0.25">
      <c r="A49" s="40"/>
      <c r="B49" s="41"/>
      <c r="C49" s="41"/>
      <c r="D49" s="41"/>
      <c r="E49" s="254" t="s">
        <v>19</v>
      </c>
      <c r="F49" s="41"/>
      <c r="G49" s="43"/>
      <c r="H49" s="44" t="s">
        <v>12</v>
      </c>
      <c r="I49" s="45"/>
      <c r="J49" s="45"/>
      <c r="K49" s="46"/>
      <c r="L49" s="47">
        <f ca="1">IFERROR(__xludf.DUMMYFUNCTION("IMPORTRANGE(""https://docs.google.com/spreadsheets/d/1-uDff_7J0KD5mKrp0Vvzr7lt3OU09vwQwhkpOPPYv2Y/edit?usp=sharing"",""งบพรบ!P30"")"),535970)</f>
        <v>535970</v>
      </c>
      <c r="M49" s="47">
        <f ca="1">IFERROR(__xludf.DUMMYFUNCTION("IMPORTRANGE(""https://docs.google.com/spreadsheets/d/1-uDff_7J0KD5mKrp0Vvzr7lt3OU09vwQwhkpOPPYv2Y/edit?usp=sharing"",""งบพรบ!V30"")"),535970)</f>
        <v>535970</v>
      </c>
      <c r="N49" s="47">
        <f ca="1">IFERROR(__xludf.DUMMYFUNCTION("IMPORTRANGE(""https://docs.google.com/spreadsheets/d/1-uDff_7J0KD5mKrp0Vvzr7lt3OU09vwQwhkpOPPYv2Y/edit?usp=sharing"",""งบพรบ!Y30"")"),230070)</f>
        <v>230070</v>
      </c>
      <c r="O49" s="47">
        <f ca="1">IF(L49&gt;0,N49*100/L49,0)</f>
        <v>42.925910032277926</v>
      </c>
      <c r="P49" s="47">
        <f ca="1">IF(M49&gt;0,N49*100/M49,0)</f>
        <v>42.925910032277926</v>
      </c>
    </row>
    <row r="50" spans="1:16" ht="18.75" x14ac:dyDescent="0.25">
      <c r="A50" s="40"/>
      <c r="B50" s="41"/>
      <c r="C50" s="41"/>
      <c r="D50" s="42" t="s">
        <v>21</v>
      </c>
      <c r="E50" s="41"/>
      <c r="F50" s="41"/>
      <c r="G50" s="43"/>
      <c r="H50" s="44" t="s">
        <v>12</v>
      </c>
      <c r="I50" s="45"/>
      <c r="J50" s="45"/>
      <c r="K50" s="46"/>
      <c r="L50" s="47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</row>
    <row r="51" spans="1:16" ht="18.75" hidden="1" x14ac:dyDescent="0.25">
      <c r="A51" s="40"/>
      <c r="B51" s="41"/>
      <c r="C51" s="41"/>
      <c r="D51" s="41"/>
      <c r="E51" s="279" t="s">
        <v>18</v>
      </c>
      <c r="F51" s="41"/>
      <c r="G51" s="43"/>
      <c r="H51" s="49" t="s">
        <v>12</v>
      </c>
      <c r="I51" s="45"/>
      <c r="J51" s="45"/>
      <c r="K51" s="46"/>
      <c r="L51" s="50">
        <v>0</v>
      </c>
      <c r="M51" s="50">
        <v>0</v>
      </c>
      <c r="N51" s="50">
        <v>0</v>
      </c>
      <c r="O51" s="50">
        <f>IF(L51&gt;0,N51*100/L51,0)</f>
        <v>0</v>
      </c>
      <c r="P51" s="50">
        <f>IF(M51&gt;0,N51*100/M51,0)</f>
        <v>0</v>
      </c>
    </row>
    <row r="52" spans="1:16" ht="18.75" x14ac:dyDescent="0.25">
      <c r="A52" s="40"/>
      <c r="B52" s="41"/>
      <c r="C52" s="41"/>
      <c r="D52" s="41"/>
      <c r="E52" s="254" t="s">
        <v>19</v>
      </c>
      <c r="F52" s="41"/>
      <c r="G52" s="43"/>
      <c r="H52" s="44" t="s">
        <v>12</v>
      </c>
      <c r="I52" s="45"/>
      <c r="J52" s="45"/>
      <c r="K52" s="46"/>
      <c r="L52" s="47">
        <f ca="1">IFERROR(__xludf.DUMMYFUNCTION("IMPORTRANGE(""https://docs.google.com/spreadsheets/d/1-uDff_7J0KD5mKrp0Vvzr7lt3OU09vwQwhkpOPPYv2Y/edit?usp=sharing"",""งบพรบ!S30"")"),0)</f>
        <v>0</v>
      </c>
      <c r="M52" s="47">
        <f ca="1">IFERROR(__xludf.DUMMYFUNCTION("IMPORTRANGE(""https://docs.google.com/spreadsheets/d/1-uDff_7J0KD5mKrp0Vvzr7lt3OU09vwQwhkpOPPYv2Y/edit?usp=sharing"",""งบพรบ!W30"")"),0)</f>
        <v>0</v>
      </c>
      <c r="N52" s="47">
        <f ca="1">IFERROR(__xludf.DUMMYFUNCTION("IMPORTRANGE(""https://docs.google.com/spreadsheets/d/1-uDff_7J0KD5mKrp0Vvzr7lt3OU09vwQwhkpOPPYv2Y/edit?usp=sharing"",""งบพรบ!Z30"")"),0)</f>
        <v>0</v>
      </c>
      <c r="O52" s="47">
        <f ca="1">IF(L52&gt;0,N52*100/L52,0)</f>
        <v>0</v>
      </c>
      <c r="P52" s="47">
        <f ca="1">IF(M52&gt;0,N52*100/M52,0)</f>
        <v>0</v>
      </c>
    </row>
    <row r="53" spans="1:16" ht="18.75" hidden="1" x14ac:dyDescent="0.25">
      <c r="A53" s="40"/>
      <c r="B53" s="41"/>
      <c r="C53" s="41"/>
      <c r="D53" s="42" t="s">
        <v>22</v>
      </c>
      <c r="E53" s="41"/>
      <c r="F53" s="41"/>
      <c r="G53" s="43"/>
      <c r="H53" s="44" t="s">
        <v>12</v>
      </c>
      <c r="I53" s="45"/>
      <c r="J53" s="45"/>
      <c r="K53" s="46"/>
      <c r="L53" s="47"/>
      <c r="M53" s="47"/>
      <c r="N53" s="47"/>
      <c r="O53" s="47"/>
      <c r="P53" s="47"/>
    </row>
    <row r="54" spans="1:16" ht="18.75" hidden="1" x14ac:dyDescent="0.25">
      <c r="A54" s="40"/>
      <c r="B54" s="41"/>
      <c r="C54" s="41"/>
      <c r="D54" s="41"/>
      <c r="E54" s="279" t="s">
        <v>18</v>
      </c>
      <c r="F54" s="41"/>
      <c r="G54" s="43"/>
      <c r="H54" s="49" t="s">
        <v>12</v>
      </c>
      <c r="I54" s="45"/>
      <c r="J54" s="45"/>
      <c r="K54" s="46"/>
      <c r="L54" s="50"/>
      <c r="M54" s="50"/>
      <c r="N54" s="50"/>
      <c r="O54" s="50"/>
      <c r="P54" s="50"/>
    </row>
    <row r="55" spans="1:16" ht="18.75" hidden="1" x14ac:dyDescent="0.25">
      <c r="A55" s="52"/>
      <c r="B55" s="1"/>
      <c r="C55" s="1"/>
      <c r="D55" s="1"/>
      <c r="E55" s="53" t="s">
        <v>19</v>
      </c>
      <c r="F55" s="1"/>
      <c r="G55" s="54"/>
      <c r="H55" s="55" t="s">
        <v>12</v>
      </c>
      <c r="I55" s="56"/>
      <c r="J55" s="56"/>
      <c r="K55" s="57"/>
      <c r="L55" s="58"/>
      <c r="M55" s="58"/>
      <c r="N55" s="58"/>
      <c r="O55" s="58"/>
      <c r="P55" s="58"/>
    </row>
    <row r="56" spans="1:16" ht="19.5" x14ac:dyDescent="0.3">
      <c r="A56" s="382" t="s">
        <v>26</v>
      </c>
      <c r="B56" s="379"/>
      <c r="C56" s="379"/>
      <c r="D56" s="379"/>
      <c r="E56" s="379"/>
      <c r="F56" s="379"/>
      <c r="G56" s="380"/>
      <c r="H56" s="90"/>
      <c r="I56" s="91"/>
      <c r="J56" s="91"/>
      <c r="K56" s="92"/>
      <c r="L56" s="92"/>
      <c r="M56" s="92"/>
      <c r="N56" s="92"/>
      <c r="O56" s="92"/>
      <c r="P56" s="93"/>
    </row>
    <row r="57" spans="1:16" ht="19.5" x14ac:dyDescent="0.3">
      <c r="A57" s="94"/>
      <c r="B57" s="383" t="s">
        <v>27</v>
      </c>
      <c r="C57" s="384"/>
      <c r="D57" s="384"/>
      <c r="E57" s="384"/>
      <c r="F57" s="384"/>
      <c r="G57" s="385"/>
      <c r="H57" s="95"/>
      <c r="I57" s="96"/>
      <c r="J57" s="96"/>
      <c r="K57" s="97"/>
      <c r="L57" s="97"/>
      <c r="M57" s="97"/>
      <c r="N57" s="97"/>
      <c r="O57" s="97"/>
      <c r="P57" s="97"/>
    </row>
    <row r="58" spans="1:16" ht="19.5" x14ac:dyDescent="0.3">
      <c r="A58" s="98"/>
      <c r="B58" s="99" t="s">
        <v>28</v>
      </c>
      <c r="C58" s="100"/>
      <c r="D58" s="100"/>
      <c r="E58" s="100"/>
      <c r="F58" s="100"/>
      <c r="G58" s="101"/>
      <c r="H58" s="101"/>
      <c r="I58" s="102"/>
      <c r="J58" s="102"/>
      <c r="K58" s="103"/>
      <c r="L58" s="103"/>
      <c r="M58" s="103"/>
      <c r="N58" s="103"/>
      <c r="O58" s="103"/>
      <c r="P58" s="103"/>
    </row>
    <row r="59" spans="1:16" ht="19.5" x14ac:dyDescent="0.3">
      <c r="A59" s="104"/>
      <c r="B59" s="105"/>
      <c r="C59" s="106" t="s">
        <v>16</v>
      </c>
      <c r="D59" s="403" t="s">
        <v>17</v>
      </c>
      <c r="E59" s="105"/>
      <c r="F59" s="105"/>
      <c r="G59" s="108"/>
      <c r="H59" s="109" t="s">
        <v>12</v>
      </c>
      <c r="I59" s="110"/>
      <c r="J59" s="110"/>
      <c r="K59" s="111"/>
      <c r="L59" s="112">
        <f ca="1">L60+L61</f>
        <v>531900</v>
      </c>
      <c r="M59" s="112">
        <f ca="1">M60+M61</f>
        <v>400950</v>
      </c>
      <c r="N59" s="112">
        <f ca="1">N60+N61</f>
        <v>277272.40000000002</v>
      </c>
      <c r="O59" s="112">
        <f ca="1">IF(L59&gt;0,N59*100/L59,0)</f>
        <v>52.128670802782487</v>
      </c>
      <c r="P59" s="112">
        <f ca="1">IF(M59&gt;0,N59*100/M59,0)</f>
        <v>69.153859583489222</v>
      </c>
    </row>
    <row r="60" spans="1:16" ht="18.75" hidden="1" x14ac:dyDescent="0.25">
      <c r="A60" s="104"/>
      <c r="B60" s="105"/>
      <c r="C60" s="105"/>
      <c r="D60" s="105"/>
      <c r="E60" s="113" t="s">
        <v>18</v>
      </c>
      <c r="F60" s="105"/>
      <c r="G60" s="108"/>
      <c r="H60" s="114" t="s">
        <v>12</v>
      </c>
      <c r="I60" s="110"/>
      <c r="J60" s="110"/>
      <c r="K60" s="111"/>
      <c r="L60" s="115">
        <f>L63+L66</f>
        <v>0</v>
      </c>
      <c r="M60" s="115">
        <f>M63+M66</f>
        <v>0</v>
      </c>
      <c r="N60" s="115">
        <f>N63+N66</f>
        <v>0</v>
      </c>
      <c r="O60" s="115">
        <f>IF(L60&gt;0,N60*100/L60,0)</f>
        <v>0</v>
      </c>
      <c r="P60" s="115">
        <f>IF(M60&gt;0,N60*100/M60,0)</f>
        <v>0</v>
      </c>
    </row>
    <row r="61" spans="1:16" ht="18.75" x14ac:dyDescent="0.25">
      <c r="A61" s="104"/>
      <c r="B61" s="105"/>
      <c r="C61" s="105"/>
      <c r="D61" s="105"/>
      <c r="E61" s="116" t="s">
        <v>19</v>
      </c>
      <c r="F61" s="105"/>
      <c r="G61" s="108"/>
      <c r="H61" s="117" t="s">
        <v>12</v>
      </c>
      <c r="I61" s="110"/>
      <c r="J61" s="110"/>
      <c r="K61" s="111"/>
      <c r="L61" s="118">
        <f ca="1">L64+L67</f>
        <v>531900</v>
      </c>
      <c r="M61" s="118">
        <f ca="1">M64+M67</f>
        <v>400950</v>
      </c>
      <c r="N61" s="118">
        <f ca="1">N64+N67</f>
        <v>277272.40000000002</v>
      </c>
      <c r="O61" s="118">
        <f ca="1">IF(L61&gt;0,N61*100/L61,0)</f>
        <v>52.128670802782487</v>
      </c>
      <c r="P61" s="118">
        <f ca="1">IF(M61&gt;0,N61*100/M61,0)</f>
        <v>69.153859583489222</v>
      </c>
    </row>
    <row r="62" spans="1:16" ht="18.75" x14ac:dyDescent="0.25">
      <c r="A62" s="40"/>
      <c r="B62" s="41"/>
      <c r="C62" s="41"/>
      <c r="D62" s="42" t="s">
        <v>20</v>
      </c>
      <c r="E62" s="41"/>
      <c r="F62" s="41"/>
      <c r="G62" s="43"/>
      <c r="H62" s="44" t="s">
        <v>12</v>
      </c>
      <c r="I62" s="45"/>
      <c r="J62" s="45"/>
      <c r="K62" s="46"/>
      <c r="L62" s="47">
        <f ca="1">L63+L64</f>
        <v>531900</v>
      </c>
      <c r="M62" s="47">
        <f ca="1">M63+M64</f>
        <v>400950</v>
      </c>
      <c r="N62" s="47">
        <f ca="1">N63+N64</f>
        <v>277272.40000000002</v>
      </c>
      <c r="O62" s="47">
        <f ca="1">IF(L62&gt;0,N62*100/L62,0)</f>
        <v>52.128670802782487</v>
      </c>
      <c r="P62" s="47">
        <f ca="1">IF(M62&gt;0,N62*100/M62,0)</f>
        <v>69.153859583489222</v>
      </c>
    </row>
    <row r="63" spans="1:16" ht="18.75" hidden="1" x14ac:dyDescent="0.25">
      <c r="A63" s="40"/>
      <c r="B63" s="41"/>
      <c r="C63" s="41"/>
      <c r="D63" s="41"/>
      <c r="E63" s="279" t="s">
        <v>18</v>
      </c>
      <c r="F63" s="41"/>
      <c r="G63" s="43"/>
      <c r="H63" s="49" t="s">
        <v>12</v>
      </c>
      <c r="I63" s="45"/>
      <c r="J63" s="45"/>
      <c r="K63" s="46"/>
      <c r="L63" s="50">
        <v>0</v>
      </c>
      <c r="M63" s="50">
        <v>0</v>
      </c>
      <c r="N63" s="50">
        <v>0</v>
      </c>
      <c r="O63" s="50">
        <f>IF(L63&gt;0,N63*100/L63,0)</f>
        <v>0</v>
      </c>
      <c r="P63" s="50">
        <f>IF(M63&gt;0,N63*100/M63,0)</f>
        <v>0</v>
      </c>
    </row>
    <row r="64" spans="1:16" ht="18.75" x14ac:dyDescent="0.25">
      <c r="A64" s="40"/>
      <c r="B64" s="41"/>
      <c r="C64" s="41"/>
      <c r="D64" s="41"/>
      <c r="E64" s="254" t="s">
        <v>19</v>
      </c>
      <c r="F64" s="41"/>
      <c r="G64" s="43"/>
      <c r="H64" s="44" t="s">
        <v>12</v>
      </c>
      <c r="I64" s="45"/>
      <c r="J64" s="45"/>
      <c r="K64" s="46"/>
      <c r="L64" s="47">
        <f ca="1">IFERROR(__xludf.DUMMYFUNCTION("IMPORTRANGE(""https://docs.google.com/spreadsheets/d/1-uDff_7J0KD5mKrp0Vvzr7lt3OU09vwQwhkpOPPYv2Y/edit?usp=sharing"",""งบพรบ!AC30"")"),531900)</f>
        <v>531900</v>
      </c>
      <c r="M64" s="47">
        <f ca="1">IFERROR(__xludf.DUMMYFUNCTION("IMPORTRANGE(""https://docs.google.com/spreadsheets/d/1-uDff_7J0KD5mKrp0Vvzr7lt3OU09vwQwhkpOPPYv2Y/edit?usp=sharing"",""งบพรบ!AH30"")"),400950)</f>
        <v>400950</v>
      </c>
      <c r="N64" s="47">
        <f ca="1">IFERROR(__xludf.DUMMYFUNCTION("IMPORTRANGE(""https://docs.google.com/spreadsheets/d/1-uDff_7J0KD5mKrp0Vvzr7lt3OU09vwQwhkpOPPYv2Y/edit?usp=sharing"",""งบพรบ!AJ30"")"),277272.4)</f>
        <v>277272.40000000002</v>
      </c>
      <c r="O64" s="47">
        <f ca="1">IF(L64&gt;0,N64*100/L64,0)</f>
        <v>52.128670802782487</v>
      </c>
      <c r="P64" s="47">
        <f ca="1">IF(M64&gt;0,N64*100/M64,0)</f>
        <v>69.153859583489222</v>
      </c>
    </row>
    <row r="65" spans="1:16" ht="18.75" x14ac:dyDescent="0.25">
      <c r="A65" s="40"/>
      <c r="B65" s="41"/>
      <c r="C65" s="41"/>
      <c r="D65" s="42" t="s">
        <v>21</v>
      </c>
      <c r="E65" s="41"/>
      <c r="F65" s="41"/>
      <c r="G65" s="43"/>
      <c r="H65" s="44" t="s">
        <v>12</v>
      </c>
      <c r="I65" s="45"/>
      <c r="J65" s="45"/>
      <c r="K65" s="46"/>
      <c r="L65" s="47">
        <f ca="1">L66+L67</f>
        <v>0</v>
      </c>
      <c r="M65" s="47">
        <f ca="1">M66+M67</f>
        <v>0</v>
      </c>
      <c r="N65" s="47">
        <f ca="1">N66+N67</f>
        <v>0</v>
      </c>
      <c r="O65" s="47">
        <f ca="1">IF(L65&gt;0,N65*100/L65,0)</f>
        <v>0</v>
      </c>
      <c r="P65" s="47">
        <f ca="1">IF(M65&gt;0,N65*100/M65,0)</f>
        <v>0</v>
      </c>
    </row>
    <row r="66" spans="1:16" ht="18.75" hidden="1" x14ac:dyDescent="0.25">
      <c r="A66" s="40"/>
      <c r="B66" s="41"/>
      <c r="C66" s="41"/>
      <c r="D66" s="41"/>
      <c r="E66" s="279" t="s">
        <v>18</v>
      </c>
      <c r="F66" s="41"/>
      <c r="G66" s="43"/>
      <c r="H66" s="49" t="s">
        <v>12</v>
      </c>
      <c r="I66" s="45"/>
      <c r="J66" s="45"/>
      <c r="K66" s="46"/>
      <c r="L66" s="50">
        <v>0</v>
      </c>
      <c r="M66" s="50">
        <v>0</v>
      </c>
      <c r="N66" s="50">
        <v>0</v>
      </c>
      <c r="O66" s="50">
        <f>IF(L66&gt;0,N66*100/L66,0)</f>
        <v>0</v>
      </c>
      <c r="P66" s="50">
        <f>IF(M66&gt;0,N66*100/M66,0)</f>
        <v>0</v>
      </c>
    </row>
    <row r="67" spans="1:16" ht="18.75" x14ac:dyDescent="0.25">
      <c r="A67" s="52"/>
      <c r="B67" s="1"/>
      <c r="C67" s="1"/>
      <c r="D67" s="1"/>
      <c r="E67" s="53" t="s">
        <v>19</v>
      </c>
      <c r="F67" s="1"/>
      <c r="G67" s="54"/>
      <c r="H67" s="55" t="s">
        <v>12</v>
      </c>
      <c r="I67" s="56"/>
      <c r="J67" s="56"/>
      <c r="K67" s="57"/>
      <c r="L67" s="58">
        <f ca="1">IFERROR(__xludf.DUMMYFUNCTION("IMPORTRANGE(""https://docs.google.com/spreadsheets/d/1-uDff_7J0KD5mKrp0Vvzr7lt3OU09vwQwhkpOPPYv2Y/edit?usp=sharing"",""งบพรบ!AF30"")"),0)</f>
        <v>0</v>
      </c>
      <c r="M67" s="58">
        <f ca="1">IFERROR(__xludf.DUMMYFUNCTION("IMPORTRANGE(""https://docs.google.com/spreadsheets/d/1-uDff_7J0KD5mKrp0Vvzr7lt3OU09vwQwhkpOPPYv2Y/edit?usp=sharing"",""งบพรบ!AI30"")"),0)</f>
        <v>0</v>
      </c>
      <c r="N67" s="58">
        <f ca="1">IFERROR(__xludf.DUMMYFUNCTION("IMPORTRANGE(""https://docs.google.com/spreadsheets/d/1-uDff_7J0KD5mKrp0Vvzr7lt3OU09vwQwhkpOPPYv2Y/edit?usp=sharing"",""งบพรบ!AK30"")"),0)</f>
        <v>0</v>
      </c>
      <c r="O67" s="58">
        <f ca="1">IF(L67&gt;0,N67*100/L67,0)</f>
        <v>0</v>
      </c>
      <c r="P67" s="58">
        <f ca="1">IF(M67&gt;0,N67*100/M67,0)</f>
        <v>0</v>
      </c>
    </row>
    <row r="68" spans="1:16" ht="19.5" x14ac:dyDescent="0.3">
      <c r="A68" s="119" t="s">
        <v>29</v>
      </c>
      <c r="B68" s="120"/>
      <c r="C68" s="120"/>
      <c r="D68" s="120"/>
      <c r="E68" s="121"/>
      <c r="F68" s="121"/>
      <c r="G68" s="121"/>
      <c r="H68" s="121"/>
      <c r="I68" s="122"/>
      <c r="J68" s="122"/>
      <c r="K68" s="123"/>
      <c r="L68" s="123"/>
      <c r="M68" s="123"/>
      <c r="N68" s="123"/>
      <c r="O68" s="123"/>
      <c r="P68" s="124"/>
    </row>
    <row r="69" spans="1:16" ht="19.5" x14ac:dyDescent="0.3">
      <c r="A69" s="125" t="s">
        <v>30</v>
      </c>
      <c r="B69" s="126"/>
      <c r="C69" s="127"/>
      <c r="D69" s="126"/>
      <c r="E69" s="126"/>
      <c r="F69" s="126"/>
      <c r="G69" s="128"/>
      <c r="H69" s="128"/>
      <c r="I69" s="129"/>
      <c r="J69" s="129"/>
      <c r="K69" s="130"/>
      <c r="L69" s="130"/>
      <c r="M69" s="130"/>
      <c r="N69" s="130"/>
      <c r="O69" s="130"/>
      <c r="P69" s="130"/>
    </row>
    <row r="70" spans="1:16" ht="19.5" x14ac:dyDescent="0.3">
      <c r="A70" s="131"/>
      <c r="B70" s="132" t="s">
        <v>31</v>
      </c>
      <c r="C70" s="26"/>
      <c r="D70" s="133"/>
      <c r="E70" s="26"/>
      <c r="F70" s="26"/>
      <c r="G70" s="29"/>
      <c r="H70" s="134" t="s">
        <v>32</v>
      </c>
      <c r="I70" s="135">
        <f ca="1">I82</f>
        <v>1</v>
      </c>
      <c r="J70" s="135">
        <f>J82</f>
        <v>0</v>
      </c>
      <c r="K70" s="33">
        <f ca="1">IF(I70&gt;0,J70*100/I70,0)</f>
        <v>0</v>
      </c>
      <c r="L70" s="32"/>
      <c r="M70" s="32"/>
      <c r="N70" s="32"/>
      <c r="O70" s="32"/>
      <c r="P70" s="32"/>
    </row>
    <row r="71" spans="1:16" ht="19.5" x14ac:dyDescent="0.3">
      <c r="A71" s="131"/>
      <c r="B71" s="26"/>
      <c r="C71" s="26"/>
      <c r="D71" s="133"/>
      <c r="E71" s="26"/>
      <c r="F71" s="26"/>
      <c r="G71" s="29"/>
      <c r="H71" s="134" t="s">
        <v>33</v>
      </c>
      <c r="I71" s="135">
        <f ca="1">I83</f>
        <v>32</v>
      </c>
      <c r="J71" s="135">
        <f>J83</f>
        <v>0</v>
      </c>
      <c r="K71" s="33">
        <f ca="1">IF(I71&gt;0,J71*100/I71,0)</f>
        <v>0</v>
      </c>
      <c r="L71" s="32"/>
      <c r="M71" s="32"/>
      <c r="N71" s="32"/>
      <c r="O71" s="32"/>
      <c r="P71" s="32"/>
    </row>
    <row r="72" spans="1:16" ht="19.5" x14ac:dyDescent="0.3">
      <c r="A72" s="136"/>
      <c r="B72" s="41"/>
      <c r="C72" s="197" t="s">
        <v>16</v>
      </c>
      <c r="D72" s="397" t="s">
        <v>17</v>
      </c>
      <c r="E72" s="41"/>
      <c r="F72" s="41"/>
      <c r="G72" s="43"/>
      <c r="H72" s="139" t="s">
        <v>12</v>
      </c>
      <c r="I72" s="45"/>
      <c r="J72" s="45"/>
      <c r="K72" s="46"/>
      <c r="L72" s="140">
        <f ca="1">L73+L74</f>
        <v>243600</v>
      </c>
      <c r="M72" s="140">
        <f ca="1">M73+M74</f>
        <v>243600</v>
      </c>
      <c r="N72" s="140">
        <f ca="1">N73+N74</f>
        <v>28570</v>
      </c>
      <c r="O72" s="140">
        <f ca="1">IF(L72&gt;0,N72*100/L72,0)</f>
        <v>11.72824302134647</v>
      </c>
      <c r="P72" s="140">
        <f ca="1">IF(M72&gt;0,N72*100/M72,0)</f>
        <v>11.72824302134647</v>
      </c>
    </row>
    <row r="73" spans="1:16" ht="18.75" hidden="1" x14ac:dyDescent="0.25">
      <c r="A73" s="136"/>
      <c r="B73" s="41"/>
      <c r="C73" s="41"/>
      <c r="D73" s="41"/>
      <c r="E73" s="279" t="s">
        <v>18</v>
      </c>
      <c r="F73" s="41"/>
      <c r="G73" s="43"/>
      <c r="H73" s="141" t="s">
        <v>12</v>
      </c>
      <c r="I73" s="45"/>
      <c r="J73" s="45"/>
      <c r="K73" s="46"/>
      <c r="L73" s="50">
        <f>L76+L79</f>
        <v>0</v>
      </c>
      <c r="M73" s="50">
        <f>M76+M79</f>
        <v>0</v>
      </c>
      <c r="N73" s="50">
        <f>N76+N79</f>
        <v>0</v>
      </c>
      <c r="O73" s="50">
        <f>IF(L73&gt;0,N73*100/L73,0)</f>
        <v>0</v>
      </c>
      <c r="P73" s="50">
        <f>IF(M73&gt;0,N73*100/M73,0)</f>
        <v>0</v>
      </c>
    </row>
    <row r="74" spans="1:16" ht="18.75" x14ac:dyDescent="0.25">
      <c r="A74" s="136"/>
      <c r="B74" s="41"/>
      <c r="C74" s="41"/>
      <c r="D74" s="41"/>
      <c r="E74" s="254" t="s">
        <v>19</v>
      </c>
      <c r="F74" s="41"/>
      <c r="G74" s="43"/>
      <c r="H74" s="142" t="s">
        <v>12</v>
      </c>
      <c r="I74" s="45"/>
      <c r="J74" s="45"/>
      <c r="K74" s="46"/>
      <c r="L74" s="47">
        <f ca="1">L77+L80</f>
        <v>243600</v>
      </c>
      <c r="M74" s="47">
        <f ca="1">M77+M80</f>
        <v>243600</v>
      </c>
      <c r="N74" s="47">
        <f ca="1">N77+N80</f>
        <v>28570</v>
      </c>
      <c r="O74" s="47">
        <f ca="1">IF(L74&gt;0,N74*100/L74,0)</f>
        <v>11.72824302134647</v>
      </c>
      <c r="P74" s="47">
        <f ca="1">IF(M74&gt;0,N74*100/M74,0)</f>
        <v>11.72824302134647</v>
      </c>
    </row>
    <row r="75" spans="1:16" ht="18.75" x14ac:dyDescent="0.25">
      <c r="A75" s="136"/>
      <c r="B75" s="41"/>
      <c r="C75" s="41"/>
      <c r="D75" s="42" t="s">
        <v>20</v>
      </c>
      <c r="E75" s="41"/>
      <c r="F75" s="41"/>
      <c r="G75" s="43"/>
      <c r="H75" s="143" t="s">
        <v>12</v>
      </c>
      <c r="I75" s="144"/>
      <c r="J75" s="144"/>
      <c r="K75" s="145"/>
      <c r="L75" s="47">
        <f ca="1">L76+L77</f>
        <v>243600</v>
      </c>
      <c r="M75" s="47">
        <f ca="1">M76+M77</f>
        <v>243600</v>
      </c>
      <c r="N75" s="47">
        <f ca="1">N76+N77</f>
        <v>28570</v>
      </c>
      <c r="O75" s="47">
        <f ca="1">IF(L75&gt;0,N75*100/L75,0)</f>
        <v>11.72824302134647</v>
      </c>
      <c r="P75" s="47">
        <f ca="1">IF(M75&gt;0,N75*100/M75,0)</f>
        <v>11.72824302134647</v>
      </c>
    </row>
    <row r="76" spans="1:16" ht="18.75" hidden="1" x14ac:dyDescent="0.25">
      <c r="A76" s="136"/>
      <c r="B76" s="41"/>
      <c r="C76" s="41"/>
      <c r="D76" s="41"/>
      <c r="E76" s="279" t="s">
        <v>34</v>
      </c>
      <c r="F76" s="41"/>
      <c r="G76" s="43"/>
      <c r="H76" s="146" t="s">
        <v>12</v>
      </c>
      <c r="I76" s="144"/>
      <c r="J76" s="144"/>
      <c r="K76" s="145"/>
      <c r="L76" s="50">
        <v>0</v>
      </c>
      <c r="M76" s="50">
        <v>0</v>
      </c>
      <c r="N76" s="50">
        <v>0</v>
      </c>
      <c r="O76" s="50">
        <f>IF(L76&gt;0,N76*100/L76,0)</f>
        <v>0</v>
      </c>
      <c r="P76" s="50">
        <f>IF(M76&gt;0,N76*100/M76,0)</f>
        <v>0</v>
      </c>
    </row>
    <row r="77" spans="1:16" ht="18.75" x14ac:dyDescent="0.25">
      <c r="A77" s="136"/>
      <c r="B77" s="41"/>
      <c r="C77" s="41"/>
      <c r="D77" s="41"/>
      <c r="E77" s="254" t="s">
        <v>35</v>
      </c>
      <c r="F77" s="41"/>
      <c r="G77" s="43"/>
      <c r="H77" s="143" t="s">
        <v>12</v>
      </c>
      <c r="I77" s="144"/>
      <c r="J77" s="144"/>
      <c r="K77" s="145"/>
      <c r="L77" s="47">
        <f ca="1">IFERROR(__xludf.DUMMYFUNCTION("IMPORTRANGE(""https://docs.google.com/spreadsheets/d/1-uDff_7J0KD5mKrp0Vvzr7lt3OU09vwQwhkpOPPYv2Y/edit?usp=sharing"",""งบพรบ!AM30"")"),243600)</f>
        <v>243600</v>
      </c>
      <c r="M77" s="47">
        <f ca="1">IFERROR(__xludf.DUMMYFUNCTION("IMPORTRANGE(""https://docs.google.com/spreadsheets/d/1-uDff_7J0KD5mKrp0Vvzr7lt3OU09vwQwhkpOPPYv2Y/edit?usp=sharing"",""งบพรบ!AR30"")"),243600)</f>
        <v>243600</v>
      </c>
      <c r="N77" s="47">
        <f ca="1">IFERROR(__xludf.DUMMYFUNCTION("IMPORTRANGE(""https://docs.google.com/spreadsheets/d/1-uDff_7J0KD5mKrp0Vvzr7lt3OU09vwQwhkpOPPYv2Y/edit?usp=sharing"",""งบพรบ!AT30"")"),28570)</f>
        <v>28570</v>
      </c>
      <c r="O77" s="47">
        <f ca="1">IF(L77&gt;0,N77*100/L77,0)</f>
        <v>11.72824302134647</v>
      </c>
      <c r="P77" s="47">
        <f ca="1">IF(M77&gt;0,N77*100/M77,0)</f>
        <v>11.72824302134647</v>
      </c>
    </row>
    <row r="78" spans="1:16" ht="18.75" x14ac:dyDescent="0.25">
      <c r="A78" s="136"/>
      <c r="B78" s="41"/>
      <c r="C78" s="41"/>
      <c r="D78" s="42" t="s">
        <v>21</v>
      </c>
      <c r="E78" s="41"/>
      <c r="F78" s="41"/>
      <c r="G78" s="43"/>
      <c r="H78" s="147" t="s">
        <v>12</v>
      </c>
      <c r="I78" s="144"/>
      <c r="J78" s="144"/>
      <c r="K78" s="145"/>
      <c r="L78" s="47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</row>
    <row r="79" spans="1:16" ht="18.75" hidden="1" x14ac:dyDescent="0.25">
      <c r="A79" s="136"/>
      <c r="B79" s="41"/>
      <c r="C79" s="41"/>
      <c r="D79" s="41"/>
      <c r="E79" s="279" t="s">
        <v>18</v>
      </c>
      <c r="F79" s="41"/>
      <c r="G79" s="43"/>
      <c r="H79" s="146" t="s">
        <v>12</v>
      </c>
      <c r="I79" s="144"/>
      <c r="J79" s="144"/>
      <c r="K79" s="145"/>
      <c r="L79" s="50">
        <v>0</v>
      </c>
      <c r="M79" s="46"/>
      <c r="N79" s="46"/>
      <c r="O79" s="50">
        <f>IF(L79&gt;0,N79*100/L79,0)</f>
        <v>0</v>
      </c>
      <c r="P79" s="50">
        <f>IF(M79&gt;0,N79*100/M79,0)</f>
        <v>0</v>
      </c>
    </row>
    <row r="80" spans="1:16" ht="18.75" x14ac:dyDescent="0.25">
      <c r="A80" s="136"/>
      <c r="B80" s="41"/>
      <c r="C80" s="41"/>
      <c r="D80" s="41"/>
      <c r="E80" s="254" t="s">
        <v>19</v>
      </c>
      <c r="F80" s="41"/>
      <c r="G80" s="43"/>
      <c r="H80" s="147" t="s">
        <v>12</v>
      </c>
      <c r="I80" s="144"/>
      <c r="J80" s="144"/>
      <c r="K80" s="145"/>
      <c r="L80" s="47">
        <f ca="1">IFERROR(__xludf.DUMMYFUNCTION("IMPORTRANGE(""https://docs.google.com/spreadsheets/d/1-uDff_7J0KD5mKrp0Vvzr7lt3OU09vwQwhkpOPPYv2Y/edit?usp=sharing"",""งบพรบ!AP30"")"),0)</f>
        <v>0</v>
      </c>
      <c r="M80" s="47">
        <f ca="1">IFERROR(__xludf.DUMMYFUNCTION("IMPORTRANGE(""https://docs.google.com/spreadsheets/d/1-uDff_7J0KD5mKrp0Vvzr7lt3OU09vwQwhkpOPPYv2Y/edit?usp=sharing"",""งบพรบ!AS30"")"),0)</f>
        <v>0</v>
      </c>
      <c r="N80" s="47">
        <f ca="1">IFERROR(__xludf.DUMMYFUNCTION("IMPORTRANGE(""https://docs.google.com/spreadsheets/d/1-uDff_7J0KD5mKrp0Vvzr7lt3OU09vwQwhkpOPPYv2Y/edit?usp=sharing"",""งบพรบ!AU30"")"),0)</f>
        <v>0</v>
      </c>
      <c r="O80" s="47">
        <f ca="1">IF(L80&gt;0,N80*100/L80,0)</f>
        <v>0</v>
      </c>
      <c r="P80" s="47">
        <f ca="1">IF(M80&gt;0,N80*100/M80,0)</f>
        <v>0</v>
      </c>
    </row>
    <row r="81" spans="1:16" ht="19.5" x14ac:dyDescent="0.3">
      <c r="A81" s="148"/>
      <c r="B81" s="149"/>
      <c r="C81" s="197" t="s">
        <v>16</v>
      </c>
      <c r="D81" s="395" t="s">
        <v>36</v>
      </c>
      <c r="E81" s="151"/>
      <c r="F81" s="151"/>
      <c r="G81" s="152"/>
      <c r="H81" s="153"/>
      <c r="I81" s="144"/>
      <c r="J81" s="144"/>
      <c r="K81" s="145"/>
      <c r="L81" s="145"/>
      <c r="M81" s="145"/>
      <c r="N81" s="145"/>
      <c r="O81" s="145"/>
      <c r="P81" s="145"/>
    </row>
    <row r="82" spans="1:16" ht="19.5" x14ac:dyDescent="0.3">
      <c r="A82" s="148"/>
      <c r="B82" s="149"/>
      <c r="C82" s="149"/>
      <c r="D82" s="154" t="s">
        <v>37</v>
      </c>
      <c r="E82" s="155"/>
      <c r="F82" s="155"/>
      <c r="G82" s="153"/>
      <c r="H82" s="156" t="s">
        <v>32</v>
      </c>
      <c r="I82" s="157">
        <f ca="1">I84+I86+I88</f>
        <v>1</v>
      </c>
      <c r="J82" s="157">
        <f>J84+J86+J88</f>
        <v>0</v>
      </c>
      <c r="K82" s="158">
        <f ca="1">IF(I82&gt;0,J82*100/I82,0)</f>
        <v>0</v>
      </c>
      <c r="L82" s="145"/>
      <c r="M82" s="145"/>
      <c r="N82" s="145"/>
      <c r="O82" s="145"/>
      <c r="P82" s="145"/>
    </row>
    <row r="83" spans="1:16" ht="19.5" x14ac:dyDescent="0.3">
      <c r="A83" s="148"/>
      <c r="B83" s="149"/>
      <c r="C83" s="149"/>
      <c r="D83" s="149"/>
      <c r="E83" s="155"/>
      <c r="F83" s="155"/>
      <c r="G83" s="153"/>
      <c r="H83" s="156" t="s">
        <v>33</v>
      </c>
      <c r="I83" s="157">
        <f ca="1">I85+I87+I89</f>
        <v>32</v>
      </c>
      <c r="J83" s="157">
        <f>J85+J87+J89</f>
        <v>0</v>
      </c>
      <c r="K83" s="158">
        <f ca="1">IF(I83&gt;0,J83*100/I83,0)</f>
        <v>0</v>
      </c>
      <c r="L83" s="145"/>
      <c r="M83" s="145"/>
      <c r="N83" s="145"/>
      <c r="O83" s="145"/>
      <c r="P83" s="145"/>
    </row>
    <row r="84" spans="1:16" ht="18.75" x14ac:dyDescent="0.25">
      <c r="A84" s="148"/>
      <c r="B84" s="149"/>
      <c r="C84" s="149"/>
      <c r="D84" s="149"/>
      <c r="E84" s="159" t="s">
        <v>38</v>
      </c>
      <c r="F84" s="155"/>
      <c r="G84" s="153"/>
      <c r="H84" s="251" t="s">
        <v>32</v>
      </c>
      <c r="I84" s="161">
        <f ca="1">IFERROR(__xludf.DUMMYFUNCTION("IMPORTRANGE(""https://docs.google.com/spreadsheets/d/1eHaY18a8A9IcSdp1K8H6x8fbOy06t2VsZHhMHf-1x7Y/edit?usp=sharing"",""แผน!H30"")"),0)</f>
        <v>0</v>
      </c>
      <c r="J84" s="250">
        <v>0</v>
      </c>
      <c r="K84" s="163">
        <f ca="1">IF(I84&gt;0,J84*100/I84,0)</f>
        <v>0</v>
      </c>
      <c r="L84" s="145"/>
      <c r="M84" s="145"/>
      <c r="N84" s="145"/>
      <c r="O84" s="145"/>
      <c r="P84" s="145"/>
    </row>
    <row r="85" spans="1:16" ht="18.75" x14ac:dyDescent="0.25">
      <c r="A85" s="148"/>
      <c r="B85" s="149"/>
      <c r="C85" s="149"/>
      <c r="D85" s="149"/>
      <c r="E85" s="155"/>
      <c r="F85" s="155"/>
      <c r="G85" s="153"/>
      <c r="H85" s="251" t="s">
        <v>33</v>
      </c>
      <c r="I85" s="161">
        <f ca="1">IFERROR(__xludf.DUMMYFUNCTION("IMPORTRANGE(""https://docs.google.com/spreadsheets/d/1eHaY18a8A9IcSdp1K8H6x8fbOy06t2VsZHhMHf-1x7Y/edit?usp=sharing"",""แผน!I30"")"),0)</f>
        <v>0</v>
      </c>
      <c r="J85" s="250">
        <v>0</v>
      </c>
      <c r="K85" s="163">
        <f ca="1">IF(I85&gt;0,J85*100/I85,0)</f>
        <v>0</v>
      </c>
      <c r="L85" s="145"/>
      <c r="M85" s="145"/>
      <c r="N85" s="145"/>
      <c r="O85" s="145"/>
      <c r="P85" s="145"/>
    </row>
    <row r="86" spans="1:16" ht="18.75" x14ac:dyDescent="0.25">
      <c r="A86" s="148"/>
      <c r="B86" s="149"/>
      <c r="C86" s="149"/>
      <c r="D86" s="149"/>
      <c r="E86" s="159" t="s">
        <v>39</v>
      </c>
      <c r="F86" s="155"/>
      <c r="G86" s="153"/>
      <c r="H86" s="251" t="s">
        <v>32</v>
      </c>
      <c r="I86" s="161">
        <f ca="1">IFERROR(__xludf.DUMMYFUNCTION("IMPORTRANGE(""https://docs.google.com/spreadsheets/d/1eHaY18a8A9IcSdp1K8H6x8fbOy06t2VsZHhMHf-1x7Y/edit?usp=sharing"",""แผน!F30"")"),0)</f>
        <v>0</v>
      </c>
      <c r="J86" s="250">
        <v>0</v>
      </c>
      <c r="K86" s="163">
        <f ca="1">IF(I86&gt;0,J86*100/I86,0)</f>
        <v>0</v>
      </c>
      <c r="L86" s="145"/>
      <c r="M86" s="145"/>
      <c r="N86" s="145"/>
      <c r="O86" s="145"/>
      <c r="P86" s="145"/>
    </row>
    <row r="87" spans="1:16" ht="18.75" x14ac:dyDescent="0.25">
      <c r="A87" s="148"/>
      <c r="B87" s="149"/>
      <c r="C87" s="149"/>
      <c r="D87" s="149"/>
      <c r="E87" s="155"/>
      <c r="F87" s="155"/>
      <c r="G87" s="153"/>
      <c r="H87" s="251" t="s">
        <v>33</v>
      </c>
      <c r="I87" s="161">
        <f ca="1">IFERROR(__xludf.DUMMYFUNCTION("IMPORTRANGE(""https://docs.google.com/spreadsheets/d/1eHaY18a8A9IcSdp1K8H6x8fbOy06t2VsZHhMHf-1x7Y/edit?usp=sharing"",""แผน!G30"")"),0)</f>
        <v>0</v>
      </c>
      <c r="J87" s="250">
        <v>0</v>
      </c>
      <c r="K87" s="163">
        <f ca="1">IF(I87&gt;0,J87*100/I87,0)</f>
        <v>0</v>
      </c>
      <c r="L87" s="145"/>
      <c r="M87" s="145"/>
      <c r="N87" s="145"/>
      <c r="O87" s="145"/>
      <c r="P87" s="145"/>
    </row>
    <row r="88" spans="1:16" ht="18.75" x14ac:dyDescent="0.25">
      <c r="A88" s="148"/>
      <c r="B88" s="149"/>
      <c r="C88" s="149"/>
      <c r="D88" s="149"/>
      <c r="E88" s="159" t="s">
        <v>40</v>
      </c>
      <c r="F88" s="155"/>
      <c r="G88" s="153"/>
      <c r="H88" s="251" t="s">
        <v>32</v>
      </c>
      <c r="I88" s="161">
        <f ca="1">IFERROR(__xludf.DUMMYFUNCTION("IMPORTRANGE(""https://docs.google.com/spreadsheets/d/1eHaY18a8A9IcSdp1K8H6x8fbOy06t2VsZHhMHf-1x7Y/edit?usp=sharing"",""แผน!D30"")"),1)</f>
        <v>1</v>
      </c>
      <c r="J88" s="250">
        <v>0</v>
      </c>
      <c r="K88" s="163">
        <f ca="1">IF(I88&gt;0,J88*100/I88,0)</f>
        <v>0</v>
      </c>
      <c r="L88" s="145"/>
      <c r="M88" s="145"/>
      <c r="N88" s="145"/>
      <c r="O88" s="145"/>
      <c r="P88" s="145"/>
    </row>
    <row r="89" spans="1:16" ht="18.75" x14ac:dyDescent="0.25">
      <c r="A89" s="148"/>
      <c r="B89" s="149"/>
      <c r="C89" s="149"/>
      <c r="D89" s="149"/>
      <c r="E89" s="155"/>
      <c r="F89" s="155"/>
      <c r="G89" s="153"/>
      <c r="H89" s="251" t="s">
        <v>33</v>
      </c>
      <c r="I89" s="161">
        <f ca="1">IFERROR(__xludf.DUMMYFUNCTION("IMPORTRANGE(""https://docs.google.com/spreadsheets/d/1eHaY18a8A9IcSdp1K8H6x8fbOy06t2VsZHhMHf-1x7Y/edit?usp=sharing"",""แผน!E30"")"),32)</f>
        <v>32</v>
      </c>
      <c r="J89" s="250">
        <v>0</v>
      </c>
      <c r="K89" s="163">
        <f ca="1">IF(I89&gt;0,J89*100/I89,0)</f>
        <v>0</v>
      </c>
      <c r="L89" s="145"/>
      <c r="M89" s="145"/>
      <c r="N89" s="145"/>
      <c r="O89" s="145"/>
      <c r="P89" s="145"/>
    </row>
    <row r="90" spans="1:16" ht="18.75" x14ac:dyDescent="0.25">
      <c r="A90" s="148"/>
      <c r="B90" s="149"/>
      <c r="C90" s="149"/>
      <c r="D90" s="154" t="s">
        <v>41</v>
      </c>
      <c r="E90" s="155"/>
      <c r="F90" s="155"/>
      <c r="G90" s="153"/>
      <c r="H90" s="164" t="s">
        <v>32</v>
      </c>
      <c r="I90" s="161">
        <f ca="1">IFERROR(__xludf.DUMMYFUNCTION("IMPORTRANGE(""https://docs.google.com/spreadsheets/d/1eHaY18a8A9IcSdp1K8H6x8fbOy06t2VsZHhMHf-1x7Y/edit?usp=sharing"",""แผน!J30"")"),1)</f>
        <v>1</v>
      </c>
      <c r="J90" s="250">
        <v>0</v>
      </c>
      <c r="K90" s="163">
        <f ca="1">IF(I90&gt;0,J90*100/I90,0)</f>
        <v>0</v>
      </c>
      <c r="L90" s="145"/>
      <c r="M90" s="145"/>
      <c r="N90" s="145"/>
      <c r="O90" s="145"/>
      <c r="P90" s="145"/>
    </row>
    <row r="91" spans="1:16" ht="19.5" hidden="1" x14ac:dyDescent="0.3">
      <c r="A91" s="125" t="s">
        <v>42</v>
      </c>
      <c r="B91" s="126"/>
      <c r="C91" s="127"/>
      <c r="D91" s="126"/>
      <c r="E91" s="126"/>
      <c r="F91" s="126"/>
      <c r="G91" s="128"/>
      <c r="H91" s="128"/>
      <c r="I91" s="129"/>
      <c r="J91" s="129"/>
      <c r="K91" s="130"/>
      <c r="L91" s="130"/>
      <c r="M91" s="130"/>
      <c r="N91" s="130"/>
      <c r="O91" s="130"/>
      <c r="P91" s="130"/>
    </row>
    <row r="92" spans="1:16" ht="19.5" hidden="1" x14ac:dyDescent="0.3">
      <c r="A92" s="131"/>
      <c r="B92" s="132" t="s">
        <v>43</v>
      </c>
      <c r="C92" s="26"/>
      <c r="D92" s="133"/>
      <c r="E92" s="26"/>
      <c r="F92" s="26"/>
      <c r="G92" s="29"/>
      <c r="H92" s="134" t="s">
        <v>44</v>
      </c>
      <c r="I92" s="135">
        <f ca="1">I108</f>
        <v>0</v>
      </c>
      <c r="J92" s="135">
        <f>J108</f>
        <v>0</v>
      </c>
      <c r="K92" s="33">
        <f ca="1">IF(I92&gt;0,J92*100/I92,0)</f>
        <v>0</v>
      </c>
      <c r="L92" s="32"/>
      <c r="M92" s="32"/>
      <c r="N92" s="32"/>
      <c r="O92" s="32"/>
      <c r="P92" s="32"/>
    </row>
    <row r="93" spans="1:16" ht="19.5" hidden="1" x14ac:dyDescent="0.3">
      <c r="A93" s="131"/>
      <c r="B93" s="26"/>
      <c r="C93" s="26"/>
      <c r="D93" s="133"/>
      <c r="E93" s="26"/>
      <c r="F93" s="26"/>
      <c r="G93" s="29"/>
      <c r="H93" s="134" t="s">
        <v>33</v>
      </c>
      <c r="I93" s="135">
        <f ca="1">I109</f>
        <v>0</v>
      </c>
      <c r="J93" s="135">
        <f>J109</f>
        <v>0</v>
      </c>
      <c r="K93" s="33">
        <f ca="1">IF(I93&gt;0,J93*100/I93,0)</f>
        <v>0</v>
      </c>
      <c r="L93" s="32"/>
      <c r="M93" s="32"/>
      <c r="N93" s="32"/>
      <c r="O93" s="32"/>
      <c r="P93" s="32"/>
    </row>
    <row r="94" spans="1:16" ht="19.5" hidden="1" x14ac:dyDescent="0.3">
      <c r="A94" s="136"/>
      <c r="B94" s="41"/>
      <c r="C94" s="197" t="s">
        <v>16</v>
      </c>
      <c r="D94" s="397" t="s">
        <v>17</v>
      </c>
      <c r="E94" s="41"/>
      <c r="F94" s="41"/>
      <c r="G94" s="43"/>
      <c r="H94" s="139" t="s">
        <v>12</v>
      </c>
      <c r="I94" s="45"/>
      <c r="J94" s="45"/>
      <c r="K94" s="46"/>
      <c r="L94" s="140">
        <f ca="1">L95+L96</f>
        <v>0</v>
      </c>
      <c r="M94" s="140">
        <f ca="1">M95+M96</f>
        <v>0</v>
      </c>
      <c r="N94" s="140">
        <f ca="1">N95+N96</f>
        <v>0</v>
      </c>
      <c r="O94" s="140">
        <f ca="1">IF(L94&gt;0,N94*100/L94,0)</f>
        <v>0</v>
      </c>
      <c r="P94" s="140">
        <f ca="1">IF(M94&gt;0,N94*100/M94,0)</f>
        <v>0</v>
      </c>
    </row>
    <row r="95" spans="1:16" ht="18.75" hidden="1" x14ac:dyDescent="0.25">
      <c r="A95" s="136"/>
      <c r="B95" s="41"/>
      <c r="C95" s="41"/>
      <c r="D95" s="41"/>
      <c r="E95" s="279" t="s">
        <v>18</v>
      </c>
      <c r="F95" s="41"/>
      <c r="G95" s="43"/>
      <c r="H95" s="141" t="s">
        <v>12</v>
      </c>
      <c r="I95" s="45"/>
      <c r="J95" s="45"/>
      <c r="K95" s="46"/>
      <c r="L95" s="50">
        <f>L98+L101</f>
        <v>0</v>
      </c>
      <c r="M95" s="50">
        <f>M98+M101</f>
        <v>0</v>
      </c>
      <c r="N95" s="50">
        <f>N98+N101</f>
        <v>0</v>
      </c>
      <c r="O95" s="50">
        <f>IF(L95&gt;0,N95*100/L95,0)</f>
        <v>0</v>
      </c>
      <c r="P95" s="50">
        <f>IF(M95&gt;0,N95*100/M95,0)</f>
        <v>0</v>
      </c>
    </row>
    <row r="96" spans="1:16" ht="18.75" hidden="1" x14ac:dyDescent="0.25">
      <c r="A96" s="136"/>
      <c r="B96" s="41"/>
      <c r="C96" s="41"/>
      <c r="D96" s="41"/>
      <c r="E96" s="254" t="s">
        <v>19</v>
      </c>
      <c r="F96" s="41"/>
      <c r="G96" s="43"/>
      <c r="H96" s="142" t="s">
        <v>12</v>
      </c>
      <c r="I96" s="45"/>
      <c r="J96" s="45"/>
      <c r="K96" s="46"/>
      <c r="L96" s="47">
        <f ca="1">L99+L102</f>
        <v>0</v>
      </c>
      <c r="M96" s="47">
        <f ca="1">M99+M102</f>
        <v>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</row>
    <row r="97" spans="1:16" ht="18.75" hidden="1" x14ac:dyDescent="0.25">
      <c r="A97" s="136"/>
      <c r="B97" s="41"/>
      <c r="C97" s="41"/>
      <c r="D97" s="42" t="s">
        <v>20</v>
      </c>
      <c r="E97" s="41"/>
      <c r="F97" s="41"/>
      <c r="G97" s="43"/>
      <c r="H97" s="143" t="s">
        <v>12</v>
      </c>
      <c r="I97" s="144"/>
      <c r="J97" s="144"/>
      <c r="K97" s="145"/>
      <c r="L97" s="47">
        <f ca="1">L98+L99</f>
        <v>0</v>
      </c>
      <c r="M97" s="47">
        <f ca="1">M98+M99</f>
        <v>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</row>
    <row r="98" spans="1:16" ht="18.75" hidden="1" x14ac:dyDescent="0.25">
      <c r="A98" s="136"/>
      <c r="B98" s="41"/>
      <c r="C98" s="41"/>
      <c r="D98" s="41"/>
      <c r="E98" s="279" t="s">
        <v>34</v>
      </c>
      <c r="F98" s="41"/>
      <c r="G98" s="43"/>
      <c r="H98" s="146" t="s">
        <v>12</v>
      </c>
      <c r="I98" s="144"/>
      <c r="J98" s="144"/>
      <c r="K98" s="145"/>
      <c r="L98" s="50">
        <v>0</v>
      </c>
      <c r="M98" s="50">
        <v>0</v>
      </c>
      <c r="N98" s="50">
        <v>0</v>
      </c>
      <c r="O98" s="50">
        <f>IF(L98&gt;0,N98*100/L98,0)</f>
        <v>0</v>
      </c>
      <c r="P98" s="50">
        <f>IF(M98&gt;0,N98*100/M98,0)</f>
        <v>0</v>
      </c>
    </row>
    <row r="99" spans="1:16" ht="18.75" hidden="1" x14ac:dyDescent="0.25">
      <c r="A99" s="136"/>
      <c r="B99" s="41"/>
      <c r="C99" s="41"/>
      <c r="D99" s="41"/>
      <c r="E99" s="254" t="s">
        <v>35</v>
      </c>
      <c r="F99" s="41"/>
      <c r="G99" s="43"/>
      <c r="H99" s="143" t="s">
        <v>12</v>
      </c>
      <c r="I99" s="144"/>
      <c r="J99" s="144"/>
      <c r="K99" s="145"/>
      <c r="L99" s="47">
        <f ca="1">IFERROR(__xludf.DUMMYFUNCTION("IMPORTRANGE(""https://docs.google.com/spreadsheets/d/1-uDff_7J0KD5mKrp0Vvzr7lt3OU09vwQwhkpOPPYv2Y/edit?usp=sharing"",""งบพรบ!AW30"")"),0)</f>
        <v>0</v>
      </c>
      <c r="M99" s="47">
        <f ca="1">IFERROR(__xludf.DUMMYFUNCTION("IMPORTRANGE(""https://docs.google.com/spreadsheets/d/1-uDff_7J0KD5mKrp0Vvzr7lt3OU09vwQwhkpOPPYv2Y/edit?usp=sharing"",""งบพรบ!BB30"")"),0)</f>
        <v>0</v>
      </c>
      <c r="N99" s="47">
        <f ca="1">IFERROR(__xludf.DUMMYFUNCTION("IMPORTRANGE(""https://docs.google.com/spreadsheets/d/1-uDff_7J0KD5mKrp0Vvzr7lt3OU09vwQwhkpOPPYv2Y/edit?usp=sharing"",""งบพรบ!BD30"")"),0)</f>
        <v>0</v>
      </c>
      <c r="O99" s="47">
        <f ca="1">IF(L99&gt;0,N99*100/L99,0)</f>
        <v>0</v>
      </c>
      <c r="P99" s="47">
        <f ca="1">IF(M99&gt;0,N99*100/M99,0)</f>
        <v>0</v>
      </c>
    </row>
    <row r="100" spans="1:16" ht="18.75" hidden="1" x14ac:dyDescent="0.25">
      <c r="A100" s="136"/>
      <c r="B100" s="41"/>
      <c r="C100" s="41"/>
      <c r="D100" s="42" t="s">
        <v>21</v>
      </c>
      <c r="E100" s="41"/>
      <c r="F100" s="41"/>
      <c r="G100" s="43"/>
      <c r="H100" s="147" t="s">
        <v>12</v>
      </c>
      <c r="I100" s="144"/>
      <c r="J100" s="144"/>
      <c r="K100" s="145"/>
      <c r="L100" s="47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</row>
    <row r="101" spans="1:16" ht="18.75" hidden="1" x14ac:dyDescent="0.25">
      <c r="A101" s="136"/>
      <c r="B101" s="41"/>
      <c r="C101" s="41"/>
      <c r="D101" s="41"/>
      <c r="E101" s="279" t="s">
        <v>18</v>
      </c>
      <c r="F101" s="41"/>
      <c r="G101" s="43"/>
      <c r="H101" s="146" t="s">
        <v>12</v>
      </c>
      <c r="I101" s="144"/>
      <c r="J101" s="144"/>
      <c r="K101" s="145"/>
      <c r="L101" s="50">
        <v>0</v>
      </c>
      <c r="M101" s="50">
        <v>0</v>
      </c>
      <c r="N101" s="50">
        <v>0</v>
      </c>
      <c r="O101" s="50">
        <f>IF(L101&gt;0,N101*100/L101,0)</f>
        <v>0</v>
      </c>
      <c r="P101" s="50">
        <f>IF(M101&gt;0,N101*100/M101,0)</f>
        <v>0</v>
      </c>
    </row>
    <row r="102" spans="1:16" ht="18.75" hidden="1" x14ac:dyDescent="0.25">
      <c r="A102" s="136"/>
      <c r="B102" s="41"/>
      <c r="C102" s="41"/>
      <c r="D102" s="41"/>
      <c r="E102" s="254" t="s">
        <v>19</v>
      </c>
      <c r="F102" s="41"/>
      <c r="G102" s="43"/>
      <c r="H102" s="147" t="s">
        <v>12</v>
      </c>
      <c r="I102" s="144"/>
      <c r="J102" s="144"/>
      <c r="K102" s="145"/>
      <c r="L102" s="47">
        <f ca="1">IFERROR(__xludf.DUMMYFUNCTION("IMPORTRANGE(""https://docs.google.com/spreadsheets/d/1-uDff_7J0KD5mKrp0Vvzr7lt3OU09vwQwhkpOPPYv2Y/edit?usp=sharing"",""งบพรบ!AZ30"")"),0)</f>
        <v>0</v>
      </c>
      <c r="M102" s="47">
        <f ca="1">IFERROR(__xludf.DUMMYFUNCTION("IMPORTRANGE(""https://docs.google.com/spreadsheets/d/1-uDff_7J0KD5mKrp0Vvzr7lt3OU09vwQwhkpOPPYv2Y/edit?usp=sharing"",""งบพรบ!BC30"")"),0)</f>
        <v>0</v>
      </c>
      <c r="N102" s="47">
        <f ca="1">IFERROR(__xludf.DUMMYFUNCTION("IMPORTRANGE(""https://docs.google.com/spreadsheets/d/1-uDff_7J0KD5mKrp0Vvzr7lt3OU09vwQwhkpOPPYv2Y/edit?usp=sharing"",""งบพรบ!BE30"")"),0)</f>
        <v>0</v>
      </c>
      <c r="O102" s="47">
        <f ca="1">IF(L102&gt;0,N102*100/L102,0)</f>
        <v>0</v>
      </c>
      <c r="P102" s="47">
        <f ca="1">IF(M102&gt;0,N102*100/M102,0)</f>
        <v>0</v>
      </c>
    </row>
    <row r="103" spans="1:16" ht="19.5" hidden="1" x14ac:dyDescent="0.3">
      <c r="A103" s="148"/>
      <c r="B103" s="149"/>
      <c r="C103" s="197" t="s">
        <v>16</v>
      </c>
      <c r="D103" s="395" t="s">
        <v>36</v>
      </c>
      <c r="E103" s="151"/>
      <c r="F103" s="151"/>
      <c r="G103" s="152"/>
      <c r="H103" s="153"/>
      <c r="I103" s="144"/>
      <c r="J103" s="45"/>
      <c r="K103" s="46"/>
      <c r="L103" s="46"/>
      <c r="M103" s="46"/>
      <c r="N103" s="46"/>
      <c r="O103" s="145"/>
      <c r="P103" s="145"/>
    </row>
    <row r="104" spans="1:16" ht="12.75" hidden="1" x14ac:dyDescent="0.2">
      <c r="A104" s="165"/>
      <c r="B104" s="166"/>
      <c r="C104" s="166"/>
      <c r="D104" s="16"/>
      <c r="E104" s="16"/>
      <c r="F104" s="16"/>
      <c r="G104" s="17"/>
      <c r="H104" s="17"/>
      <c r="I104" s="18"/>
      <c r="J104" s="18"/>
      <c r="K104" s="19"/>
      <c r="L104" s="19"/>
      <c r="M104" s="19"/>
      <c r="N104" s="19"/>
      <c r="O104" s="19"/>
      <c r="P104" s="19"/>
    </row>
    <row r="105" spans="1:16" ht="12.75" hidden="1" x14ac:dyDescent="0.2">
      <c r="A105" s="165"/>
      <c r="B105" s="166"/>
      <c r="C105" s="166"/>
      <c r="D105" s="16"/>
      <c r="E105" s="16"/>
      <c r="F105" s="16"/>
      <c r="G105" s="17"/>
      <c r="H105" s="17"/>
      <c r="I105" s="18"/>
      <c r="J105" s="18"/>
      <c r="K105" s="19"/>
      <c r="L105" s="19"/>
      <c r="M105" s="19"/>
      <c r="N105" s="19"/>
      <c r="O105" s="19"/>
      <c r="P105" s="19"/>
    </row>
    <row r="106" spans="1:16" ht="12.75" hidden="1" x14ac:dyDescent="0.2">
      <c r="A106" s="165"/>
      <c r="B106" s="166"/>
      <c r="C106" s="166"/>
      <c r="D106" s="166"/>
      <c r="E106" s="16"/>
      <c r="F106" s="16"/>
      <c r="G106" s="17"/>
      <c r="H106" s="17"/>
      <c r="I106" s="18"/>
      <c r="J106" s="18"/>
      <c r="K106" s="19"/>
      <c r="L106" s="19"/>
      <c r="M106" s="19"/>
      <c r="N106" s="19"/>
      <c r="O106" s="19"/>
      <c r="P106" s="19"/>
    </row>
    <row r="107" spans="1:16" ht="19.5" hidden="1" x14ac:dyDescent="0.3">
      <c r="A107" s="148"/>
      <c r="B107" s="149"/>
      <c r="C107" s="149"/>
      <c r="D107" s="167" t="s">
        <v>45</v>
      </c>
      <c r="E107" s="168"/>
      <c r="F107" s="155"/>
      <c r="G107" s="153"/>
      <c r="H107" s="43"/>
      <c r="I107" s="45"/>
      <c r="J107" s="45"/>
      <c r="K107" s="46"/>
      <c r="L107" s="46"/>
      <c r="M107" s="46"/>
      <c r="N107" s="46"/>
      <c r="O107" s="145"/>
      <c r="P107" s="145"/>
    </row>
    <row r="108" spans="1:16" ht="18.75" hidden="1" x14ac:dyDescent="0.25">
      <c r="A108" s="148"/>
      <c r="B108" s="149"/>
      <c r="C108" s="149"/>
      <c r="D108" s="159" t="s">
        <v>46</v>
      </c>
      <c r="E108" s="155"/>
      <c r="F108" s="155"/>
      <c r="G108" s="153"/>
      <c r="H108" s="44" t="s">
        <v>44</v>
      </c>
      <c r="I108" s="169">
        <f ca="1">IFERROR(__xludf.DUMMYFUNCTION("IMPORTRANGE(""https://docs.google.com/spreadsheets/d/1eHaY18a8A9IcSdp1K8H6x8fbOy06t2VsZHhMHf-1x7Y/edit?usp=sharing"",""แผน!N30"")"),0)</f>
        <v>0</v>
      </c>
      <c r="J108" s="250">
        <v>0</v>
      </c>
      <c r="K108" s="47">
        <f ca="1">IF(I108&gt;0,J108*100/I108,0)</f>
        <v>0</v>
      </c>
      <c r="L108" s="46"/>
      <c r="M108" s="46"/>
      <c r="N108" s="46"/>
      <c r="O108" s="145"/>
      <c r="P108" s="145"/>
    </row>
    <row r="109" spans="1:16" ht="18.75" hidden="1" x14ac:dyDescent="0.25">
      <c r="A109" s="148"/>
      <c r="B109" s="149"/>
      <c r="C109" s="149"/>
      <c r="D109" s="159" t="s">
        <v>47</v>
      </c>
      <c r="E109" s="155"/>
      <c r="F109" s="155"/>
      <c r="G109" s="153"/>
      <c r="H109" s="44" t="s">
        <v>33</v>
      </c>
      <c r="I109" s="169">
        <f ca="1">IFERROR(__xludf.DUMMYFUNCTION("IMPORTRANGE(""https://docs.google.com/spreadsheets/d/1eHaY18a8A9IcSdp1K8H6x8fbOy06t2VsZHhMHf-1x7Y/edit?usp=sharing"",""แผน!O30"")"),0)</f>
        <v>0</v>
      </c>
      <c r="J109" s="250">
        <v>0</v>
      </c>
      <c r="K109" s="47">
        <f ca="1">IF(I109&gt;0,J109*100/I109,0)</f>
        <v>0</v>
      </c>
      <c r="L109" s="46"/>
      <c r="M109" s="46"/>
      <c r="N109" s="46"/>
      <c r="O109" s="145"/>
      <c r="P109" s="145"/>
    </row>
    <row r="110" spans="1:16" ht="12.75" hidden="1" x14ac:dyDescent="0.2">
      <c r="A110" s="165"/>
      <c r="B110" s="166"/>
      <c r="C110" s="166"/>
      <c r="D110" s="16"/>
      <c r="E110" s="16"/>
      <c r="F110" s="16"/>
      <c r="G110" s="17"/>
      <c r="H110" s="17"/>
      <c r="I110" s="18"/>
      <c r="J110" s="18"/>
      <c r="K110" s="19"/>
      <c r="L110" s="19"/>
      <c r="M110" s="19"/>
      <c r="N110" s="19"/>
      <c r="O110" s="19"/>
      <c r="P110" s="19"/>
    </row>
    <row r="111" spans="1:16" ht="12.75" hidden="1" x14ac:dyDescent="0.2">
      <c r="A111" s="165"/>
      <c r="B111" s="166"/>
      <c r="C111" s="166"/>
      <c r="D111" s="16"/>
      <c r="E111" s="16"/>
      <c r="F111" s="16"/>
      <c r="G111" s="17"/>
      <c r="H111" s="17"/>
      <c r="I111" s="18"/>
      <c r="J111" s="18"/>
      <c r="K111" s="19"/>
      <c r="L111" s="19"/>
      <c r="M111" s="19"/>
      <c r="N111" s="19"/>
      <c r="O111" s="19"/>
      <c r="P111" s="19"/>
    </row>
    <row r="112" spans="1:16" ht="12.75" hidden="1" x14ac:dyDescent="0.2">
      <c r="A112" s="165"/>
      <c r="B112" s="166"/>
      <c r="C112" s="166"/>
      <c r="D112" s="16"/>
      <c r="E112" s="16"/>
      <c r="F112" s="16"/>
      <c r="G112" s="17"/>
      <c r="H112" s="17"/>
      <c r="I112" s="18"/>
      <c r="J112" s="18"/>
      <c r="K112" s="19"/>
      <c r="L112" s="19"/>
      <c r="M112" s="19"/>
      <c r="N112" s="19"/>
      <c r="O112" s="19"/>
      <c r="P112" s="19"/>
    </row>
    <row r="113" spans="1:16" ht="12.75" hidden="1" x14ac:dyDescent="0.2">
      <c r="A113" s="165"/>
      <c r="B113" s="166"/>
      <c r="C113" s="166"/>
      <c r="D113" s="16"/>
      <c r="E113" s="16"/>
      <c r="F113" s="16"/>
      <c r="G113" s="17"/>
      <c r="H113" s="17"/>
      <c r="I113" s="18"/>
      <c r="J113" s="18"/>
      <c r="K113" s="19"/>
      <c r="L113" s="19"/>
      <c r="M113" s="19"/>
      <c r="N113" s="19"/>
      <c r="O113" s="19"/>
      <c r="P113" s="19"/>
    </row>
    <row r="114" spans="1:16" ht="12.75" hidden="1" x14ac:dyDescent="0.2">
      <c r="A114" s="165"/>
      <c r="B114" s="166"/>
      <c r="C114" s="166"/>
      <c r="D114" s="16"/>
      <c r="E114" s="16"/>
      <c r="F114" s="16"/>
      <c r="G114" s="17"/>
      <c r="H114" s="17"/>
      <c r="I114" s="18"/>
      <c r="J114" s="18"/>
      <c r="K114" s="19"/>
      <c r="L114" s="19"/>
      <c r="M114" s="19"/>
      <c r="N114" s="19"/>
      <c r="O114" s="19"/>
      <c r="P114" s="19"/>
    </row>
    <row r="115" spans="1:16" ht="12.75" hidden="1" x14ac:dyDescent="0.2">
      <c r="A115" s="165"/>
      <c r="B115" s="166"/>
      <c r="C115" s="166"/>
      <c r="D115" s="16"/>
      <c r="E115" s="16"/>
      <c r="F115" s="16"/>
      <c r="G115" s="17"/>
      <c r="H115" s="17"/>
      <c r="I115" s="18"/>
      <c r="J115" s="18"/>
      <c r="K115" s="19"/>
      <c r="L115" s="19"/>
      <c r="M115" s="19"/>
      <c r="N115" s="19"/>
      <c r="O115" s="19"/>
      <c r="P115" s="19"/>
    </row>
    <row r="116" spans="1:16" ht="12.75" hidden="1" x14ac:dyDescent="0.2">
      <c r="A116" s="165"/>
      <c r="B116" s="166"/>
      <c r="C116" s="166"/>
      <c r="D116" s="16"/>
      <c r="E116" s="16"/>
      <c r="F116" s="16"/>
      <c r="G116" s="17"/>
      <c r="H116" s="17"/>
      <c r="I116" s="18"/>
      <c r="J116" s="18"/>
      <c r="K116" s="19"/>
      <c r="L116" s="19"/>
      <c r="M116" s="19"/>
      <c r="N116" s="19"/>
      <c r="O116" s="19"/>
      <c r="P116" s="19"/>
    </row>
    <row r="117" spans="1:16" ht="18.75" hidden="1" x14ac:dyDescent="0.25">
      <c r="A117" s="148"/>
      <c r="B117" s="149"/>
      <c r="C117" s="149"/>
      <c r="D117" s="159" t="s">
        <v>48</v>
      </c>
      <c r="E117" s="155"/>
      <c r="F117" s="155"/>
      <c r="G117" s="153"/>
      <c r="H117" s="251" t="s">
        <v>33</v>
      </c>
      <c r="I117" s="161">
        <f ca="1">IFERROR(__xludf.DUMMYFUNCTION("IMPORTRANGE(""https://docs.google.com/spreadsheets/d/1eHaY18a8A9IcSdp1K8H6x8fbOy06t2VsZHhMHf-1x7Y/edit?usp=sharing"",""แผน!R30"")"),0)</f>
        <v>0</v>
      </c>
      <c r="J117" s="250">
        <v>0</v>
      </c>
      <c r="K117" s="47">
        <f ca="1">IF(I117&gt;0,J117*100/I117,0)</f>
        <v>0</v>
      </c>
      <c r="L117" s="46"/>
      <c r="M117" s="46"/>
      <c r="N117" s="46"/>
      <c r="O117" s="145"/>
      <c r="P117" s="145"/>
    </row>
    <row r="118" spans="1:16" ht="12.75" hidden="1" x14ac:dyDescent="0.2">
      <c r="A118" s="165"/>
      <c r="B118" s="166"/>
      <c r="C118" s="166"/>
      <c r="D118" s="166"/>
      <c r="E118" s="16"/>
      <c r="F118" s="16"/>
      <c r="G118" s="17"/>
      <c r="H118" s="17"/>
      <c r="I118" s="18"/>
      <c r="J118" s="18"/>
      <c r="K118" s="19"/>
      <c r="L118" s="19"/>
      <c r="M118" s="19"/>
      <c r="N118" s="19"/>
      <c r="O118" s="19"/>
      <c r="P118" s="19"/>
    </row>
    <row r="119" spans="1:16" ht="12.75" hidden="1" x14ac:dyDescent="0.2">
      <c r="A119" s="165"/>
      <c r="B119" s="166"/>
      <c r="C119" s="166"/>
      <c r="D119" s="166"/>
      <c r="E119" s="16"/>
      <c r="F119" s="16"/>
      <c r="G119" s="17"/>
      <c r="H119" s="17"/>
      <c r="I119" s="18"/>
      <c r="J119" s="18"/>
      <c r="K119" s="19"/>
      <c r="L119" s="19"/>
      <c r="M119" s="19"/>
      <c r="N119" s="19"/>
      <c r="O119" s="19"/>
      <c r="P119" s="19"/>
    </row>
    <row r="120" spans="1:16" ht="12.75" hidden="1" x14ac:dyDescent="0.2">
      <c r="A120" s="165"/>
      <c r="B120" s="166"/>
      <c r="C120" s="166"/>
      <c r="D120" s="166"/>
      <c r="E120" s="16"/>
      <c r="F120" s="16"/>
      <c r="G120" s="17"/>
      <c r="H120" s="17"/>
      <c r="I120" s="18"/>
      <c r="J120" s="18"/>
      <c r="K120" s="19"/>
      <c r="L120" s="19"/>
      <c r="M120" s="19"/>
      <c r="N120" s="19"/>
      <c r="O120" s="19"/>
      <c r="P120" s="19"/>
    </row>
    <row r="121" spans="1:16" ht="12.75" hidden="1" x14ac:dyDescent="0.2">
      <c r="A121" s="165"/>
      <c r="B121" s="166"/>
      <c r="C121" s="166"/>
      <c r="D121" s="166"/>
      <c r="E121" s="16"/>
      <c r="F121" s="16"/>
      <c r="G121" s="17"/>
      <c r="H121" s="17"/>
      <c r="I121" s="18"/>
      <c r="J121" s="18"/>
      <c r="K121" s="19"/>
      <c r="L121" s="19"/>
      <c r="M121" s="19"/>
      <c r="N121" s="19"/>
      <c r="O121" s="19"/>
      <c r="P121" s="19"/>
    </row>
    <row r="122" spans="1:16" ht="12.75" hidden="1" x14ac:dyDescent="0.2">
      <c r="A122" s="165"/>
      <c r="B122" s="166"/>
      <c r="C122" s="166"/>
      <c r="D122" s="166"/>
      <c r="E122" s="16"/>
      <c r="F122" s="16"/>
      <c r="G122" s="17"/>
      <c r="H122" s="17"/>
      <c r="I122" s="18"/>
      <c r="J122" s="18"/>
      <c r="K122" s="19"/>
      <c r="L122" s="19"/>
      <c r="M122" s="19"/>
      <c r="N122" s="19"/>
      <c r="O122" s="19"/>
      <c r="P122" s="19"/>
    </row>
    <row r="123" spans="1:16" ht="19.5" hidden="1" x14ac:dyDescent="0.3">
      <c r="A123" s="170" t="s">
        <v>49</v>
      </c>
      <c r="B123" s="16"/>
      <c r="C123" s="171"/>
      <c r="D123" s="16"/>
      <c r="E123" s="16"/>
      <c r="F123" s="16"/>
      <c r="G123" s="16"/>
      <c r="H123" s="16"/>
      <c r="I123" s="172"/>
      <c r="J123" s="172"/>
      <c r="K123" s="173"/>
      <c r="L123" s="19"/>
      <c r="M123" s="19"/>
      <c r="N123" s="19"/>
      <c r="O123" s="19"/>
      <c r="P123" s="19"/>
    </row>
    <row r="124" spans="1:16" ht="19.5" hidden="1" x14ac:dyDescent="0.3">
      <c r="A124" s="174"/>
      <c r="B124" s="178" t="s">
        <v>50</v>
      </c>
      <c r="C124" s="171"/>
      <c r="D124" s="166"/>
      <c r="E124" s="16"/>
      <c r="F124" s="16"/>
      <c r="G124" s="17"/>
      <c r="H124" s="17"/>
      <c r="I124" s="176">
        <v>0</v>
      </c>
      <c r="J124" s="176">
        <v>0</v>
      </c>
      <c r="K124" s="177">
        <v>0</v>
      </c>
      <c r="L124" s="19"/>
      <c r="M124" s="19"/>
      <c r="N124" s="19"/>
      <c r="O124" s="19"/>
      <c r="P124" s="19"/>
    </row>
    <row r="125" spans="1:16" ht="19.5" hidden="1" x14ac:dyDescent="0.3">
      <c r="A125" s="174"/>
      <c r="B125" s="16"/>
      <c r="C125" s="178" t="s">
        <v>16</v>
      </c>
      <c r="D125" s="402" t="s">
        <v>17</v>
      </c>
      <c r="E125" s="16"/>
      <c r="F125" s="16"/>
      <c r="G125" s="17"/>
      <c r="H125" s="180" t="s">
        <v>12</v>
      </c>
      <c r="I125" s="18"/>
      <c r="J125" s="18"/>
      <c r="K125" s="19"/>
      <c r="L125" s="181">
        <f ca="1">L126+L127</f>
        <v>0</v>
      </c>
      <c r="M125" s="181">
        <f ca="1">M126+M127</f>
        <v>0</v>
      </c>
      <c r="N125" s="181">
        <f ca="1">N126+N127</f>
        <v>0</v>
      </c>
      <c r="O125" s="181">
        <f ca="1">IF(L125&gt;0,N125*100/L125,0)</f>
        <v>0</v>
      </c>
      <c r="P125" s="181">
        <f ca="1">IF(M125&gt;0,N125*100/M125,0)</f>
        <v>0</v>
      </c>
    </row>
    <row r="126" spans="1:16" ht="18.75" hidden="1" x14ac:dyDescent="0.25">
      <c r="A126" s="174"/>
      <c r="B126" s="16"/>
      <c r="C126" s="16"/>
      <c r="D126" s="16"/>
      <c r="E126" s="182" t="s">
        <v>18</v>
      </c>
      <c r="F126" s="16"/>
      <c r="G126" s="17"/>
      <c r="H126" s="183" t="s">
        <v>12</v>
      </c>
      <c r="I126" s="18"/>
      <c r="J126" s="18"/>
      <c r="K126" s="19"/>
      <c r="L126" s="184">
        <f>L129+L132</f>
        <v>0</v>
      </c>
      <c r="M126" s="184">
        <f>M129+M132</f>
        <v>0</v>
      </c>
      <c r="N126" s="184">
        <f>N129+N132</f>
        <v>0</v>
      </c>
      <c r="O126" s="184">
        <f>IF(L126&gt;0,N126*100/L126,0)</f>
        <v>0</v>
      </c>
      <c r="P126" s="184">
        <f>IF(M126&gt;0,N126*100/M126,0)</f>
        <v>0</v>
      </c>
    </row>
    <row r="127" spans="1:16" ht="18.75" hidden="1" x14ac:dyDescent="0.25">
      <c r="A127" s="174"/>
      <c r="B127" s="16"/>
      <c r="C127" s="16"/>
      <c r="D127" s="16"/>
      <c r="E127" s="185" t="s">
        <v>19</v>
      </c>
      <c r="F127" s="16"/>
      <c r="G127" s="17"/>
      <c r="H127" s="186" t="s">
        <v>12</v>
      </c>
      <c r="I127" s="18"/>
      <c r="J127" s="18"/>
      <c r="K127" s="19"/>
      <c r="L127" s="177">
        <f ca="1">L130+L133</f>
        <v>0</v>
      </c>
      <c r="M127" s="177">
        <f ca="1">M130+M133</f>
        <v>0</v>
      </c>
      <c r="N127" s="177">
        <f ca="1">N130+N133</f>
        <v>0</v>
      </c>
      <c r="O127" s="177">
        <f ca="1">IF(L127&gt;0,N127*100/L127,0)</f>
        <v>0</v>
      </c>
      <c r="P127" s="177">
        <f ca="1">IF(M127&gt;0,N127*100/M127,0)</f>
        <v>0</v>
      </c>
    </row>
    <row r="128" spans="1:16" ht="18.75" hidden="1" x14ac:dyDescent="0.25">
      <c r="A128" s="174"/>
      <c r="B128" s="16"/>
      <c r="C128" s="16"/>
      <c r="D128" s="401" t="s">
        <v>20</v>
      </c>
      <c r="E128" s="16"/>
      <c r="F128" s="16"/>
      <c r="G128" s="17"/>
      <c r="H128" s="188" t="s">
        <v>12</v>
      </c>
      <c r="I128" s="18"/>
      <c r="J128" s="18"/>
      <c r="K128" s="19"/>
      <c r="L128" s="177">
        <f ca="1">L129+L130</f>
        <v>0</v>
      </c>
      <c r="M128" s="177">
        <f ca="1">M129+M130</f>
        <v>0</v>
      </c>
      <c r="N128" s="177">
        <f ca="1">N129+N130</f>
        <v>0</v>
      </c>
      <c r="O128" s="177">
        <f ca="1">IF(L128&gt;0,N128*100/L128,0)</f>
        <v>0</v>
      </c>
      <c r="P128" s="177">
        <f ca="1">IF(M128&gt;0,N128*100/M128,0)</f>
        <v>0</v>
      </c>
    </row>
    <row r="129" spans="1:16" ht="18.75" hidden="1" x14ac:dyDescent="0.25">
      <c r="A129" s="174"/>
      <c r="B129" s="16"/>
      <c r="C129" s="16"/>
      <c r="D129" s="16"/>
      <c r="E129" s="182" t="s">
        <v>34</v>
      </c>
      <c r="F129" s="16"/>
      <c r="G129" s="17"/>
      <c r="H129" s="189" t="s">
        <v>12</v>
      </c>
      <c r="I129" s="18"/>
      <c r="J129" s="18"/>
      <c r="K129" s="19"/>
      <c r="L129" s="184">
        <v>0</v>
      </c>
      <c r="M129" s="184">
        <v>0</v>
      </c>
      <c r="N129" s="184">
        <v>0</v>
      </c>
      <c r="O129" s="184">
        <f>IF(L129&gt;0,N129*100/L129,0)</f>
        <v>0</v>
      </c>
      <c r="P129" s="184">
        <f>IF(M129&gt;0,N129*100/M129,0)</f>
        <v>0</v>
      </c>
    </row>
    <row r="130" spans="1:16" ht="18.75" hidden="1" x14ac:dyDescent="0.25">
      <c r="A130" s="174"/>
      <c r="B130" s="16"/>
      <c r="C130" s="16"/>
      <c r="D130" s="16"/>
      <c r="E130" s="185" t="s">
        <v>35</v>
      </c>
      <c r="F130" s="16"/>
      <c r="G130" s="17"/>
      <c r="H130" s="188" t="s">
        <v>12</v>
      </c>
      <c r="I130" s="18"/>
      <c r="J130" s="18"/>
      <c r="K130" s="19"/>
      <c r="L130" s="177">
        <f ca="1">IFERROR(__xludf.DUMMYFUNCTION("IMPORTRANGE(""https://docs.google.com/spreadsheets/d/1-uDff_7J0KD5mKrp0Vvzr7lt3OU09vwQwhkpOPPYv2Y/edit?usp=sharing"",""งบพรบ!BG30"")"),0)</f>
        <v>0</v>
      </c>
      <c r="M130" s="177">
        <f ca="1">IFERROR(__xludf.DUMMYFUNCTION("IMPORTRANGE(""https://docs.google.com/spreadsheets/d/1-uDff_7J0KD5mKrp0Vvzr7lt3OU09vwQwhkpOPPYv2Y/edit?usp=sharing"",""งบพรบ!BL30"")"),0)</f>
        <v>0</v>
      </c>
      <c r="N130" s="177">
        <f ca="1">IFERROR(__xludf.DUMMYFUNCTION("IMPORTRANGE(""https://docs.google.com/spreadsheets/d/1-uDff_7J0KD5mKrp0Vvzr7lt3OU09vwQwhkpOPPYv2Y/edit?usp=sharing"",""งบพรบ!BN30"")"),0)</f>
        <v>0</v>
      </c>
      <c r="O130" s="177">
        <f ca="1">IF(L130&gt;0,N130*100/L130,0)</f>
        <v>0</v>
      </c>
      <c r="P130" s="177">
        <f ca="1">IF(M130&gt;0,N130*100/M130,0)</f>
        <v>0</v>
      </c>
    </row>
    <row r="131" spans="1:16" ht="18.75" hidden="1" x14ac:dyDescent="0.25">
      <c r="A131" s="174"/>
      <c r="B131" s="16"/>
      <c r="C131" s="16"/>
      <c r="D131" s="401" t="s">
        <v>21</v>
      </c>
      <c r="E131" s="16"/>
      <c r="F131" s="16"/>
      <c r="G131" s="17"/>
      <c r="H131" s="186" t="s">
        <v>12</v>
      </c>
      <c r="I131" s="18"/>
      <c r="J131" s="18"/>
      <c r="K131" s="19"/>
      <c r="L131" s="177">
        <f ca="1">L132+L133</f>
        <v>0</v>
      </c>
      <c r="M131" s="177">
        <f ca="1">M132+M133</f>
        <v>0</v>
      </c>
      <c r="N131" s="177">
        <f ca="1">N132+N133</f>
        <v>0</v>
      </c>
      <c r="O131" s="177">
        <f ca="1">IF(L131&gt;0,N131*100/L131,0)</f>
        <v>0</v>
      </c>
      <c r="P131" s="177">
        <f ca="1">IF(M131&gt;0,N131*100/M131,0)</f>
        <v>0</v>
      </c>
    </row>
    <row r="132" spans="1:16" ht="18.75" hidden="1" x14ac:dyDescent="0.25">
      <c r="A132" s="174"/>
      <c r="B132" s="16"/>
      <c r="C132" s="16"/>
      <c r="D132" s="16"/>
      <c r="E132" s="182" t="s">
        <v>18</v>
      </c>
      <c r="F132" s="16"/>
      <c r="G132" s="17"/>
      <c r="H132" s="189" t="s">
        <v>12</v>
      </c>
      <c r="I132" s="18"/>
      <c r="J132" s="18"/>
      <c r="K132" s="19"/>
      <c r="L132" s="184">
        <v>0</v>
      </c>
      <c r="M132" s="184">
        <v>0</v>
      </c>
      <c r="N132" s="184">
        <v>0</v>
      </c>
      <c r="O132" s="184">
        <f>IF(L132&gt;0,N132*100/L132,0)</f>
        <v>0</v>
      </c>
      <c r="P132" s="184">
        <f>IF(M132&gt;0,N132*100/M132,0)</f>
        <v>0</v>
      </c>
    </row>
    <row r="133" spans="1:16" ht="18.75" hidden="1" x14ac:dyDescent="0.25">
      <c r="A133" s="174"/>
      <c r="B133" s="16"/>
      <c r="C133" s="16"/>
      <c r="D133" s="16"/>
      <c r="E133" s="185" t="s">
        <v>19</v>
      </c>
      <c r="F133" s="16"/>
      <c r="G133" s="17"/>
      <c r="H133" s="186" t="s">
        <v>12</v>
      </c>
      <c r="I133" s="18"/>
      <c r="J133" s="18"/>
      <c r="K133" s="19"/>
      <c r="L133" s="177">
        <f ca="1">IFERROR(__xludf.DUMMYFUNCTION("IMPORTRANGE(""https://docs.google.com/spreadsheets/d/1-uDff_7J0KD5mKrp0Vvzr7lt3OU09vwQwhkpOPPYv2Y/edit?usp=sharing"",""งบพรบ!BJ30"")"),0)</f>
        <v>0</v>
      </c>
      <c r="M133" s="177">
        <f ca="1">IFERROR(__xludf.DUMMYFUNCTION("IMPORTRANGE(""https://docs.google.com/spreadsheets/d/1-uDff_7J0KD5mKrp0Vvzr7lt3OU09vwQwhkpOPPYv2Y/edit?usp=sharing"",""งบพรบ!BM30"")"),0)</f>
        <v>0</v>
      </c>
      <c r="N133" s="177">
        <f ca="1">IFERROR(__xludf.DUMMYFUNCTION("IMPORTRANGE(""https://docs.google.com/spreadsheets/d/1-uDff_7J0KD5mKrp0Vvzr7lt3OU09vwQwhkpOPPYv2Y/edit?usp=sharing"",""งบพรบ!BO30"")"),0)</f>
        <v>0</v>
      </c>
      <c r="O133" s="177">
        <f ca="1">IF(L133&gt;0,N133*100/L133,0)</f>
        <v>0</v>
      </c>
      <c r="P133" s="177">
        <f ca="1">IF(M133&gt;0,N133*100/M133,0)</f>
        <v>0</v>
      </c>
    </row>
    <row r="134" spans="1:16" ht="19.5" x14ac:dyDescent="0.3">
      <c r="A134" s="125" t="s">
        <v>51</v>
      </c>
      <c r="B134" s="126"/>
      <c r="C134" s="190"/>
      <c r="D134" s="126"/>
      <c r="E134" s="126"/>
      <c r="F134" s="126"/>
      <c r="G134" s="126"/>
      <c r="H134" s="126"/>
      <c r="I134" s="191"/>
      <c r="J134" s="191"/>
      <c r="K134" s="192"/>
      <c r="L134" s="130"/>
      <c r="M134" s="130"/>
      <c r="N134" s="130"/>
      <c r="O134" s="130"/>
      <c r="P134" s="130"/>
    </row>
    <row r="135" spans="1:16" ht="19.5" x14ac:dyDescent="0.3">
      <c r="A135" s="131"/>
      <c r="B135" s="132" t="s">
        <v>52</v>
      </c>
      <c r="C135" s="193"/>
      <c r="D135" s="133"/>
      <c r="E135" s="26"/>
      <c r="F135" s="26"/>
      <c r="G135" s="26"/>
      <c r="H135" s="26"/>
      <c r="I135" s="194"/>
      <c r="J135" s="31"/>
      <c r="K135" s="32"/>
      <c r="L135" s="32"/>
      <c r="M135" s="32"/>
      <c r="N135" s="32"/>
      <c r="O135" s="32"/>
      <c r="P135" s="32"/>
    </row>
    <row r="136" spans="1:16" ht="19.5" x14ac:dyDescent="0.3">
      <c r="A136" s="131"/>
      <c r="B136" s="26"/>
      <c r="C136" s="195" t="s">
        <v>53</v>
      </c>
      <c r="D136" s="133"/>
      <c r="E136" s="26"/>
      <c r="F136" s="26"/>
      <c r="G136" s="29"/>
      <c r="H136" s="134" t="s">
        <v>54</v>
      </c>
      <c r="I136" s="135">
        <f ca="1">I154</f>
        <v>2</v>
      </c>
      <c r="J136" s="135">
        <f>J154</f>
        <v>0</v>
      </c>
      <c r="K136" s="33">
        <f ca="1">IF(I136&gt;0,J136*100/I136,0)</f>
        <v>0</v>
      </c>
      <c r="L136" s="32"/>
      <c r="M136" s="32"/>
      <c r="N136" s="32"/>
      <c r="O136" s="32"/>
      <c r="P136" s="32"/>
    </row>
    <row r="137" spans="1:16" ht="19.5" x14ac:dyDescent="0.3">
      <c r="A137" s="131"/>
      <c r="B137" s="26"/>
      <c r="C137" s="195" t="s">
        <v>55</v>
      </c>
      <c r="D137" s="133"/>
      <c r="E137" s="26"/>
      <c r="F137" s="26"/>
      <c r="G137" s="29"/>
      <c r="H137" s="134" t="s">
        <v>33</v>
      </c>
      <c r="I137" s="135">
        <f ca="1">I152</f>
        <v>40</v>
      </c>
      <c r="J137" s="135">
        <f>J152</f>
        <v>0</v>
      </c>
      <c r="K137" s="33">
        <f ca="1">IF(I137&gt;0,J137*100/I137,0)</f>
        <v>0</v>
      </c>
      <c r="L137" s="32"/>
      <c r="M137" s="32"/>
      <c r="N137" s="32"/>
      <c r="O137" s="32"/>
      <c r="P137" s="32"/>
    </row>
    <row r="138" spans="1:16" ht="19.5" x14ac:dyDescent="0.3">
      <c r="A138" s="131"/>
      <c r="B138" s="26"/>
      <c r="C138" s="193"/>
      <c r="D138" s="133"/>
      <c r="E138" s="26"/>
      <c r="F138" s="26"/>
      <c r="G138" s="29"/>
      <c r="H138" s="134" t="s">
        <v>56</v>
      </c>
      <c r="I138" s="135">
        <f ca="1">I153</f>
        <v>4</v>
      </c>
      <c r="J138" s="135">
        <f>J153</f>
        <v>0</v>
      </c>
      <c r="K138" s="33">
        <f ca="1">IF(I138&gt;0,J138*100/I138,0)</f>
        <v>0</v>
      </c>
      <c r="L138" s="32"/>
      <c r="M138" s="32"/>
      <c r="N138" s="32"/>
      <c r="O138" s="32"/>
      <c r="P138" s="32"/>
    </row>
    <row r="139" spans="1:16" ht="19.5" x14ac:dyDescent="0.3">
      <c r="A139" s="136"/>
      <c r="B139" s="41"/>
      <c r="C139" s="197" t="s">
        <v>16</v>
      </c>
      <c r="D139" s="397" t="s">
        <v>17</v>
      </c>
      <c r="E139" s="41"/>
      <c r="F139" s="41"/>
      <c r="G139" s="43"/>
      <c r="H139" s="139" t="s">
        <v>12</v>
      </c>
      <c r="I139" s="45"/>
      <c r="J139" s="45"/>
      <c r="K139" s="46"/>
      <c r="L139" s="140">
        <f ca="1">L140+L141</f>
        <v>153900</v>
      </c>
      <c r="M139" s="140">
        <f ca="1">M140+M141</f>
        <v>126300</v>
      </c>
      <c r="N139" s="140">
        <f ca="1">N140+N141</f>
        <v>18633.5</v>
      </c>
      <c r="O139" s="140">
        <f ca="1">IF(L139&gt;0,N139*100/L139,0)</f>
        <v>12.107537361923328</v>
      </c>
      <c r="P139" s="140">
        <f ca="1">IF(M139&gt;0,N139*100/M139,0)</f>
        <v>14.753365003958828</v>
      </c>
    </row>
    <row r="140" spans="1:16" ht="18.75" hidden="1" x14ac:dyDescent="0.25">
      <c r="A140" s="136"/>
      <c r="B140" s="41"/>
      <c r="C140" s="41"/>
      <c r="D140" s="41"/>
      <c r="E140" s="279" t="s">
        <v>18</v>
      </c>
      <c r="F140" s="41"/>
      <c r="G140" s="43"/>
      <c r="H140" s="141" t="s">
        <v>12</v>
      </c>
      <c r="I140" s="45"/>
      <c r="J140" s="45"/>
      <c r="K140" s="46"/>
      <c r="L140" s="50">
        <f>L143+L146</f>
        <v>0</v>
      </c>
      <c r="M140" s="50">
        <f>M143+M146</f>
        <v>0</v>
      </c>
      <c r="N140" s="50">
        <f>N143+N146</f>
        <v>0</v>
      </c>
      <c r="O140" s="50">
        <f>IF(L140&gt;0,N140*100/L140,0)</f>
        <v>0</v>
      </c>
      <c r="P140" s="50">
        <f>IF(M140&gt;0,N140*100/M140,0)</f>
        <v>0</v>
      </c>
    </row>
    <row r="141" spans="1:16" ht="18.75" x14ac:dyDescent="0.25">
      <c r="A141" s="136"/>
      <c r="B141" s="41"/>
      <c r="C141" s="41"/>
      <c r="D141" s="41"/>
      <c r="E141" s="254" t="s">
        <v>19</v>
      </c>
      <c r="F141" s="41"/>
      <c r="G141" s="43"/>
      <c r="H141" s="142" t="s">
        <v>12</v>
      </c>
      <c r="I141" s="45"/>
      <c r="J141" s="45"/>
      <c r="K141" s="46"/>
      <c r="L141" s="47">
        <f ca="1">L144+L147</f>
        <v>153900</v>
      </c>
      <c r="M141" s="47">
        <f ca="1">M144+M147</f>
        <v>126300</v>
      </c>
      <c r="N141" s="47">
        <f ca="1">N144+N147</f>
        <v>18633.5</v>
      </c>
      <c r="O141" s="47">
        <f ca="1">IF(L141&gt;0,N141*100/L141,0)</f>
        <v>12.107537361923328</v>
      </c>
      <c r="P141" s="47">
        <f ca="1">IF(M141&gt;0,N141*100/M141,0)</f>
        <v>14.753365003958828</v>
      </c>
    </row>
    <row r="142" spans="1:16" ht="18.75" x14ac:dyDescent="0.25">
      <c r="A142" s="136"/>
      <c r="B142" s="41"/>
      <c r="C142" s="41"/>
      <c r="D142" s="42" t="s">
        <v>20</v>
      </c>
      <c r="E142" s="41"/>
      <c r="F142" s="41"/>
      <c r="G142" s="43"/>
      <c r="H142" s="143" t="s">
        <v>12</v>
      </c>
      <c r="I142" s="144"/>
      <c r="J142" s="144"/>
      <c r="K142" s="145"/>
      <c r="L142" s="47">
        <f ca="1">L143+L144</f>
        <v>153900</v>
      </c>
      <c r="M142" s="47">
        <f ca="1">M143+M144</f>
        <v>126300</v>
      </c>
      <c r="N142" s="47">
        <f ca="1">N143+N144</f>
        <v>18633.5</v>
      </c>
      <c r="O142" s="47">
        <f ca="1">IF(L142&gt;0,N142*100/L142,0)</f>
        <v>12.107537361923328</v>
      </c>
      <c r="P142" s="47">
        <f ca="1">IF(M142&gt;0,N142*100/M142,0)</f>
        <v>14.753365003958828</v>
      </c>
    </row>
    <row r="143" spans="1:16" ht="18.75" hidden="1" x14ac:dyDescent="0.25">
      <c r="A143" s="136"/>
      <c r="B143" s="41"/>
      <c r="C143" s="41"/>
      <c r="D143" s="41"/>
      <c r="E143" s="279" t="s">
        <v>34</v>
      </c>
      <c r="F143" s="41"/>
      <c r="G143" s="43"/>
      <c r="H143" s="146" t="s">
        <v>12</v>
      </c>
      <c r="I143" s="144"/>
      <c r="J143" s="144"/>
      <c r="K143" s="145"/>
      <c r="L143" s="50">
        <v>0</v>
      </c>
      <c r="M143" s="50">
        <v>0</v>
      </c>
      <c r="N143" s="50">
        <v>0</v>
      </c>
      <c r="O143" s="50">
        <f>IF(L143&gt;0,N143*100/L143,0)</f>
        <v>0</v>
      </c>
      <c r="P143" s="50">
        <f>IF(M143&gt;0,N143*100/M143,0)</f>
        <v>0</v>
      </c>
    </row>
    <row r="144" spans="1:16" ht="18.75" x14ac:dyDescent="0.25">
      <c r="A144" s="136"/>
      <c r="B144" s="41"/>
      <c r="C144" s="41"/>
      <c r="D144" s="41"/>
      <c r="E144" s="254" t="s">
        <v>35</v>
      </c>
      <c r="F144" s="41"/>
      <c r="G144" s="43"/>
      <c r="H144" s="143" t="s">
        <v>12</v>
      </c>
      <c r="I144" s="144"/>
      <c r="J144" s="144"/>
      <c r="K144" s="145"/>
      <c r="L144" s="47">
        <f ca="1">IFERROR(__xludf.DUMMYFUNCTION("IMPORTRANGE(""https://docs.google.com/spreadsheets/d/1-uDff_7J0KD5mKrp0Vvzr7lt3OU09vwQwhkpOPPYv2Y/edit?usp=sharing"",""งบพรบ!BQ30"")"),153900)</f>
        <v>153900</v>
      </c>
      <c r="M144" s="47">
        <f ca="1">IFERROR(__xludf.DUMMYFUNCTION("IMPORTRANGE(""https://docs.google.com/spreadsheets/d/1-uDff_7J0KD5mKrp0Vvzr7lt3OU09vwQwhkpOPPYv2Y/edit?usp=sharing"",""งบพรบ!BV30"")"),126300)</f>
        <v>126300</v>
      </c>
      <c r="N144" s="47">
        <f ca="1">IFERROR(__xludf.DUMMYFUNCTION("IMPORTRANGE(""https://docs.google.com/spreadsheets/d/1-uDff_7J0KD5mKrp0Vvzr7lt3OU09vwQwhkpOPPYv2Y/edit?usp=sharing"",""งบพรบ!BX30"")"),18633.5)</f>
        <v>18633.5</v>
      </c>
      <c r="O144" s="47">
        <f ca="1">IF(L144&gt;0,N144*100/L144,0)</f>
        <v>12.107537361923328</v>
      </c>
      <c r="P144" s="47">
        <f ca="1">IF(M144&gt;0,N144*100/M144,0)</f>
        <v>14.753365003958828</v>
      </c>
    </row>
    <row r="145" spans="1:16" ht="18.75" x14ac:dyDescent="0.25">
      <c r="A145" s="136"/>
      <c r="B145" s="41"/>
      <c r="C145" s="41"/>
      <c r="D145" s="42" t="s">
        <v>21</v>
      </c>
      <c r="E145" s="41"/>
      <c r="F145" s="41"/>
      <c r="G145" s="43"/>
      <c r="H145" s="147" t="s">
        <v>12</v>
      </c>
      <c r="I145" s="144"/>
      <c r="J145" s="144"/>
      <c r="K145" s="145"/>
      <c r="L145" s="47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</row>
    <row r="146" spans="1:16" ht="18.75" hidden="1" x14ac:dyDescent="0.25">
      <c r="A146" s="136"/>
      <c r="B146" s="41"/>
      <c r="C146" s="41"/>
      <c r="D146" s="41"/>
      <c r="E146" s="279" t="s">
        <v>18</v>
      </c>
      <c r="F146" s="41"/>
      <c r="G146" s="43"/>
      <c r="H146" s="146" t="s">
        <v>12</v>
      </c>
      <c r="I146" s="144"/>
      <c r="J146" s="144"/>
      <c r="K146" s="145"/>
      <c r="L146" s="50">
        <v>0</v>
      </c>
      <c r="M146" s="50">
        <v>0</v>
      </c>
      <c r="N146" s="50">
        <v>0</v>
      </c>
      <c r="O146" s="50">
        <f>IF(L146&gt;0,N146*100/L146,0)</f>
        <v>0</v>
      </c>
      <c r="P146" s="50">
        <f>IF(M146&gt;0,N146*100/M146,0)</f>
        <v>0</v>
      </c>
    </row>
    <row r="147" spans="1:16" ht="18.75" x14ac:dyDescent="0.25">
      <c r="A147" s="136"/>
      <c r="B147" s="41"/>
      <c r="C147" s="41"/>
      <c r="D147" s="41"/>
      <c r="E147" s="254" t="s">
        <v>19</v>
      </c>
      <c r="F147" s="41"/>
      <c r="G147" s="43"/>
      <c r="H147" s="147" t="s">
        <v>12</v>
      </c>
      <c r="I147" s="144"/>
      <c r="J147" s="144"/>
      <c r="K147" s="145"/>
      <c r="L147" s="47">
        <f ca="1">IFERROR(__xludf.DUMMYFUNCTION("IMPORTRANGE(""https://docs.google.com/spreadsheets/d/1-uDff_7J0KD5mKrp0Vvzr7lt3OU09vwQwhkpOPPYv2Y/edit?usp=sharing"",""งบพรบ!BT30"")"),0)</f>
        <v>0</v>
      </c>
      <c r="M147" s="47">
        <f ca="1">IFERROR(__xludf.DUMMYFUNCTION("IMPORTRANGE(""https://docs.google.com/spreadsheets/d/1-uDff_7J0KD5mKrp0Vvzr7lt3OU09vwQwhkpOPPYv2Y/edit?usp=sharing"",""งบพรบ!BW30"")"),0)</f>
        <v>0</v>
      </c>
      <c r="N147" s="47">
        <f ca="1">IFERROR(__xludf.DUMMYFUNCTION("IMPORTRANGE(""https://docs.google.com/spreadsheets/d/1-uDff_7J0KD5mKrp0Vvzr7lt3OU09vwQwhkpOPPYv2Y/edit?usp=sharing"",""งบพรบ!BY30"")"),0)</f>
        <v>0</v>
      </c>
      <c r="O147" s="47">
        <f ca="1">IF(L147&gt;0,N147*100/L147,0)</f>
        <v>0</v>
      </c>
      <c r="P147" s="47">
        <f ca="1">IF(M147&gt;0,N147*100/M147,0)</f>
        <v>0</v>
      </c>
    </row>
    <row r="148" spans="1:16" ht="19.5" x14ac:dyDescent="0.3">
      <c r="A148" s="148"/>
      <c r="B148" s="149"/>
      <c r="C148" s="197" t="s">
        <v>16</v>
      </c>
      <c r="D148" s="395" t="s">
        <v>36</v>
      </c>
      <c r="E148" s="151"/>
      <c r="F148" s="151"/>
      <c r="G148" s="152"/>
      <c r="H148" s="196"/>
      <c r="I148" s="45"/>
      <c r="J148" s="45"/>
      <c r="K148" s="46"/>
      <c r="L148" s="46"/>
      <c r="M148" s="46"/>
      <c r="N148" s="46"/>
      <c r="O148" s="46"/>
      <c r="P148" s="46"/>
    </row>
    <row r="149" spans="1:16" ht="18.75" x14ac:dyDescent="0.25">
      <c r="A149" s="136"/>
      <c r="B149" s="41"/>
      <c r="C149" s="41"/>
      <c r="D149" s="254" t="s">
        <v>57</v>
      </c>
      <c r="E149" s="41"/>
      <c r="F149" s="41"/>
      <c r="G149" s="43"/>
      <c r="H149" s="196"/>
      <c r="I149" s="45"/>
      <c r="J149" s="250">
        <v>0</v>
      </c>
      <c r="K149" s="46"/>
      <c r="L149" s="46"/>
      <c r="M149" s="46"/>
      <c r="N149" s="46"/>
      <c r="O149" s="46"/>
      <c r="P149" s="46"/>
    </row>
    <row r="150" spans="1:16" ht="19.5" x14ac:dyDescent="0.3">
      <c r="A150" s="136"/>
      <c r="B150" s="41"/>
      <c r="C150" s="41"/>
      <c r="D150" s="155"/>
      <c r="E150" s="197" t="s">
        <v>58</v>
      </c>
      <c r="F150" s="41"/>
      <c r="G150" s="43"/>
      <c r="H150" s="147" t="s">
        <v>33</v>
      </c>
      <c r="I150" s="169">
        <f ca="1">IFERROR(__xludf.DUMMYFUNCTION("IMPORTRANGE(""https://docs.google.com/spreadsheets/d/1eHaY18a8A9IcSdp1K8H6x8fbOy06t2VsZHhMHf-1x7Y/edit?usp=sharing"",""แผน!U30"")"),20)</f>
        <v>20</v>
      </c>
      <c r="J150" s="250">
        <v>0</v>
      </c>
      <c r="K150" s="47">
        <f ca="1">IF(I150&gt;0,J150*100/I150,0)</f>
        <v>0</v>
      </c>
      <c r="L150" s="46"/>
      <c r="M150" s="46"/>
      <c r="N150" s="46"/>
      <c r="O150" s="46"/>
      <c r="P150" s="46"/>
    </row>
    <row r="151" spans="1:16" ht="18.75" x14ac:dyDescent="0.25">
      <c r="A151" s="136"/>
      <c r="B151" s="41"/>
      <c r="C151" s="41"/>
      <c r="D151" s="155"/>
      <c r="E151" s="41"/>
      <c r="F151" s="41"/>
      <c r="G151" s="43"/>
      <c r="H151" s="147" t="s">
        <v>56</v>
      </c>
      <c r="I151" s="169">
        <f ca="1">IFERROR(__xludf.DUMMYFUNCTION("IMPORTRANGE(""https://docs.google.com/spreadsheets/d/1eHaY18a8A9IcSdp1K8H6x8fbOy06t2VsZHhMHf-1x7Y/edit?usp=sharing"",""แผน!V30"")"),2)</f>
        <v>2</v>
      </c>
      <c r="J151" s="250">
        <v>0</v>
      </c>
      <c r="K151" s="47">
        <f ca="1">IF(I151&gt;0,J151*100/I151,0)</f>
        <v>0</v>
      </c>
      <c r="L151" s="46"/>
      <c r="M151" s="46"/>
      <c r="N151" s="46"/>
      <c r="O151" s="46"/>
      <c r="P151" s="46"/>
    </row>
    <row r="152" spans="1:16" ht="19.5" x14ac:dyDescent="0.3">
      <c r="A152" s="136"/>
      <c r="B152" s="41"/>
      <c r="C152" s="41"/>
      <c r="D152" s="155"/>
      <c r="E152" s="197" t="s">
        <v>59</v>
      </c>
      <c r="F152" s="41"/>
      <c r="G152" s="43"/>
      <c r="H152" s="147" t="s">
        <v>33</v>
      </c>
      <c r="I152" s="169">
        <f ca="1">IFERROR(__xludf.DUMMYFUNCTION("IMPORTRANGE(""https://docs.google.com/spreadsheets/d/1eHaY18a8A9IcSdp1K8H6x8fbOy06t2VsZHhMHf-1x7Y/edit?usp=sharing"",""แผน!W30"")"),40)</f>
        <v>40</v>
      </c>
      <c r="J152" s="250">
        <v>0</v>
      </c>
      <c r="K152" s="47">
        <f ca="1">IF(I152&gt;0,J152*100/I152,0)</f>
        <v>0</v>
      </c>
      <c r="L152" s="46"/>
      <c r="M152" s="46"/>
      <c r="N152" s="46"/>
      <c r="O152" s="46"/>
      <c r="P152" s="46"/>
    </row>
    <row r="153" spans="1:16" ht="18.75" x14ac:dyDescent="0.25">
      <c r="A153" s="136"/>
      <c r="B153" s="41"/>
      <c r="C153" s="41"/>
      <c r="D153" s="41"/>
      <c r="E153" s="41"/>
      <c r="F153" s="41"/>
      <c r="G153" s="43"/>
      <c r="H153" s="147" t="s">
        <v>56</v>
      </c>
      <c r="I153" s="169">
        <f ca="1">IFERROR(__xludf.DUMMYFUNCTION("IMPORTRANGE(""https://docs.google.com/spreadsheets/d/1eHaY18a8A9IcSdp1K8H6x8fbOy06t2VsZHhMHf-1x7Y/edit?usp=sharing"",""แผน!X30"")"),4)</f>
        <v>4</v>
      </c>
      <c r="J153" s="250">
        <v>0</v>
      </c>
      <c r="K153" s="47">
        <f ca="1">IF(I153&gt;0,J153*100/I153,0)</f>
        <v>0</v>
      </c>
      <c r="L153" s="46"/>
      <c r="M153" s="46"/>
      <c r="N153" s="46"/>
      <c r="O153" s="46"/>
      <c r="P153" s="46"/>
    </row>
    <row r="154" spans="1:16" ht="18.75" x14ac:dyDescent="0.25">
      <c r="A154" s="136"/>
      <c r="B154" s="41"/>
      <c r="C154" s="41"/>
      <c r="D154" s="254" t="s">
        <v>60</v>
      </c>
      <c r="E154" s="41"/>
      <c r="F154" s="41"/>
      <c r="G154" s="43"/>
      <c r="H154" s="147" t="s">
        <v>54</v>
      </c>
      <c r="I154" s="169">
        <f ca="1">IFERROR(__xludf.DUMMYFUNCTION("IMPORTRANGE(""https://docs.google.com/spreadsheets/d/1eHaY18a8A9IcSdp1K8H6x8fbOy06t2VsZHhMHf-1x7Y/edit?usp=sharing"",""แผน!Y30"")"),2)</f>
        <v>2</v>
      </c>
      <c r="J154" s="250">
        <v>0</v>
      </c>
      <c r="K154" s="47">
        <f ca="1">IF(I154&gt;0,J154*100/I154,0)</f>
        <v>0</v>
      </c>
      <c r="L154" s="46"/>
      <c r="M154" s="46"/>
      <c r="N154" s="46"/>
      <c r="O154" s="46"/>
      <c r="P154" s="46"/>
    </row>
    <row r="155" spans="1:16" ht="19.5" x14ac:dyDescent="0.3">
      <c r="A155" s="125" t="s">
        <v>61</v>
      </c>
      <c r="B155" s="126"/>
      <c r="C155" s="190"/>
      <c r="D155" s="126"/>
      <c r="E155" s="126"/>
      <c r="F155" s="126"/>
      <c r="G155" s="126"/>
      <c r="H155" s="126"/>
      <c r="I155" s="191"/>
      <c r="J155" s="191"/>
      <c r="K155" s="192"/>
      <c r="L155" s="130"/>
      <c r="M155" s="130"/>
      <c r="N155" s="130"/>
      <c r="O155" s="130"/>
      <c r="P155" s="130"/>
    </row>
    <row r="156" spans="1:16" ht="19.5" x14ac:dyDescent="0.3">
      <c r="A156" s="131"/>
      <c r="B156" s="132" t="s">
        <v>62</v>
      </c>
      <c r="C156" s="26"/>
      <c r="D156" s="26"/>
      <c r="E156" s="26"/>
      <c r="F156" s="26"/>
      <c r="G156" s="29"/>
      <c r="H156" s="198" t="s">
        <v>33</v>
      </c>
      <c r="I156" s="135">
        <f ca="1">I167</f>
        <v>10</v>
      </c>
      <c r="J156" s="135">
        <f>J167</f>
        <v>0</v>
      </c>
      <c r="K156" s="33">
        <f ca="1">IF(I156&gt;0,J156*100/I156,0)</f>
        <v>0</v>
      </c>
      <c r="L156" s="32"/>
      <c r="M156" s="32"/>
      <c r="N156" s="32"/>
      <c r="O156" s="32"/>
      <c r="P156" s="32"/>
    </row>
    <row r="157" spans="1:16" ht="19.5" x14ac:dyDescent="0.3">
      <c r="A157" s="136"/>
      <c r="B157" s="41"/>
      <c r="C157" s="197" t="s">
        <v>16</v>
      </c>
      <c r="D157" s="397" t="s">
        <v>17</v>
      </c>
      <c r="E157" s="41"/>
      <c r="F157" s="41"/>
      <c r="G157" s="43"/>
      <c r="H157" s="139" t="s">
        <v>12</v>
      </c>
      <c r="I157" s="45"/>
      <c r="J157" s="45"/>
      <c r="K157" s="46"/>
      <c r="L157" s="140">
        <f ca="1">L158+L159</f>
        <v>3000</v>
      </c>
      <c r="M157" s="140">
        <f ca="1">M158+M159</f>
        <v>0</v>
      </c>
      <c r="N157" s="140">
        <f ca="1">N158+N159</f>
        <v>0</v>
      </c>
      <c r="O157" s="140">
        <f ca="1">IF(L157&gt;0,N157*100/L157,0)</f>
        <v>0</v>
      </c>
      <c r="P157" s="140">
        <f ca="1">IF(M157&gt;0,N157*100/M157,0)</f>
        <v>0</v>
      </c>
    </row>
    <row r="158" spans="1:16" ht="18.75" hidden="1" x14ac:dyDescent="0.25">
      <c r="A158" s="136"/>
      <c r="B158" s="41"/>
      <c r="C158" s="41"/>
      <c r="D158" s="41"/>
      <c r="E158" s="279" t="s">
        <v>18</v>
      </c>
      <c r="F158" s="41"/>
      <c r="G158" s="43"/>
      <c r="H158" s="141" t="s">
        <v>12</v>
      </c>
      <c r="I158" s="45"/>
      <c r="J158" s="45"/>
      <c r="K158" s="46"/>
      <c r="L158" s="50">
        <f>L161+L164</f>
        <v>0</v>
      </c>
      <c r="M158" s="50">
        <f>M161+M164</f>
        <v>0</v>
      </c>
      <c r="N158" s="50">
        <f>N161+N164</f>
        <v>0</v>
      </c>
      <c r="O158" s="50">
        <f>IF(L158&gt;0,N158*100/L158,0)</f>
        <v>0</v>
      </c>
      <c r="P158" s="50">
        <f>IF(M158&gt;0,N158*100/M158,0)</f>
        <v>0</v>
      </c>
    </row>
    <row r="159" spans="1:16" ht="18.75" x14ac:dyDescent="0.25">
      <c r="A159" s="136"/>
      <c r="B159" s="41"/>
      <c r="C159" s="41"/>
      <c r="D159" s="41"/>
      <c r="E159" s="254" t="s">
        <v>19</v>
      </c>
      <c r="F159" s="41"/>
      <c r="G159" s="43"/>
      <c r="H159" s="142" t="s">
        <v>12</v>
      </c>
      <c r="I159" s="45"/>
      <c r="J159" s="45"/>
      <c r="K159" s="46"/>
      <c r="L159" s="47">
        <f ca="1">L162+L165</f>
        <v>3000</v>
      </c>
      <c r="M159" s="47">
        <f ca="1">M162+M165</f>
        <v>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</row>
    <row r="160" spans="1:16" ht="18.75" x14ac:dyDescent="0.25">
      <c r="A160" s="136"/>
      <c r="B160" s="41"/>
      <c r="C160" s="41"/>
      <c r="D160" s="42" t="s">
        <v>20</v>
      </c>
      <c r="E160" s="41"/>
      <c r="F160" s="41"/>
      <c r="G160" s="43"/>
      <c r="H160" s="143" t="s">
        <v>12</v>
      </c>
      <c r="I160" s="144"/>
      <c r="J160" s="144"/>
      <c r="K160" s="145"/>
      <c r="L160" s="47">
        <f ca="1">L161+L162</f>
        <v>3000</v>
      </c>
      <c r="M160" s="47">
        <f ca="1">M161+M162</f>
        <v>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</row>
    <row r="161" spans="1:16" ht="18.75" hidden="1" x14ac:dyDescent="0.25">
      <c r="A161" s="136"/>
      <c r="B161" s="41"/>
      <c r="C161" s="41"/>
      <c r="D161" s="41"/>
      <c r="E161" s="279" t="s">
        <v>34</v>
      </c>
      <c r="F161" s="41"/>
      <c r="G161" s="43"/>
      <c r="H161" s="146" t="s">
        <v>12</v>
      </c>
      <c r="I161" s="144"/>
      <c r="J161" s="144"/>
      <c r="K161" s="145"/>
      <c r="L161" s="50">
        <v>0</v>
      </c>
      <c r="M161" s="50">
        <v>0</v>
      </c>
      <c r="N161" s="50">
        <v>0</v>
      </c>
      <c r="O161" s="50">
        <f>IF(L161&gt;0,N161*100/L161,0)</f>
        <v>0</v>
      </c>
      <c r="P161" s="50">
        <f>IF(M161&gt;0,N161*100/M161,0)</f>
        <v>0</v>
      </c>
    </row>
    <row r="162" spans="1:16" ht="18.75" x14ac:dyDescent="0.25">
      <c r="A162" s="136"/>
      <c r="B162" s="41"/>
      <c r="C162" s="41"/>
      <c r="D162" s="41"/>
      <c r="E162" s="254" t="s">
        <v>35</v>
      </c>
      <c r="F162" s="41"/>
      <c r="G162" s="43"/>
      <c r="H162" s="143" t="s">
        <v>12</v>
      </c>
      <c r="I162" s="144"/>
      <c r="J162" s="144"/>
      <c r="K162" s="145"/>
      <c r="L162" s="47">
        <f ca="1">IFERROR(__xludf.DUMMYFUNCTION("IMPORTRANGE(""https://docs.google.com/spreadsheets/d/1-uDff_7J0KD5mKrp0Vvzr7lt3OU09vwQwhkpOPPYv2Y/edit?usp=sharing"",""งบพรบ!CA30"")"),3000)</f>
        <v>3000</v>
      </c>
      <c r="M162" s="47">
        <f ca="1">IFERROR(__xludf.DUMMYFUNCTION("IMPORTRANGE(""https://docs.google.com/spreadsheets/d/1-uDff_7J0KD5mKrp0Vvzr7lt3OU09vwQwhkpOPPYv2Y/edit?usp=sharing"",""งบพรบ!CF30"")"),0)</f>
        <v>0</v>
      </c>
      <c r="N162" s="47">
        <f ca="1">IFERROR(__xludf.DUMMYFUNCTION("IMPORTRANGE(""https://docs.google.com/spreadsheets/d/1-uDff_7J0KD5mKrp0Vvzr7lt3OU09vwQwhkpOPPYv2Y/edit?usp=sharing"",""งบพรบ!CH30"")"),0)</f>
        <v>0</v>
      </c>
      <c r="O162" s="47">
        <f ca="1">IF(L162&gt;0,N162*100/L162,0)</f>
        <v>0</v>
      </c>
      <c r="P162" s="47">
        <f ca="1">IF(M162&gt;0,N162*100/M162,0)</f>
        <v>0</v>
      </c>
    </row>
    <row r="163" spans="1:16" ht="18.75" x14ac:dyDescent="0.25">
      <c r="A163" s="136"/>
      <c r="B163" s="41"/>
      <c r="C163" s="41"/>
      <c r="D163" s="42" t="s">
        <v>21</v>
      </c>
      <c r="E163" s="41"/>
      <c r="F163" s="41"/>
      <c r="G163" s="43"/>
      <c r="H163" s="147" t="s">
        <v>12</v>
      </c>
      <c r="I163" s="144"/>
      <c r="J163" s="144"/>
      <c r="K163" s="145"/>
      <c r="L163" s="47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</row>
    <row r="164" spans="1:16" ht="18.75" hidden="1" x14ac:dyDescent="0.25">
      <c r="A164" s="136"/>
      <c r="B164" s="41"/>
      <c r="C164" s="41"/>
      <c r="D164" s="41"/>
      <c r="E164" s="279" t="s">
        <v>18</v>
      </c>
      <c r="F164" s="41"/>
      <c r="G164" s="43"/>
      <c r="H164" s="146" t="s">
        <v>12</v>
      </c>
      <c r="I164" s="144"/>
      <c r="J164" s="144"/>
      <c r="K164" s="145"/>
      <c r="L164" s="50">
        <v>0</v>
      </c>
      <c r="M164" s="50">
        <v>0</v>
      </c>
      <c r="N164" s="50">
        <v>0</v>
      </c>
      <c r="O164" s="50">
        <f>IF(L164&gt;0,N164*100/L164,0)</f>
        <v>0</v>
      </c>
      <c r="P164" s="50">
        <f>IF(M164&gt;0,N164*100/M164,0)</f>
        <v>0</v>
      </c>
    </row>
    <row r="165" spans="1:16" ht="18.75" x14ac:dyDescent="0.25">
      <c r="A165" s="136"/>
      <c r="B165" s="41"/>
      <c r="C165" s="41"/>
      <c r="D165" s="41"/>
      <c r="E165" s="254" t="s">
        <v>19</v>
      </c>
      <c r="F165" s="41"/>
      <c r="G165" s="43"/>
      <c r="H165" s="147" t="s">
        <v>12</v>
      </c>
      <c r="I165" s="144"/>
      <c r="J165" s="144"/>
      <c r="K165" s="145"/>
      <c r="L165" s="47">
        <f ca="1">IFERROR(__xludf.DUMMYFUNCTION("IMPORTRANGE(""https://docs.google.com/spreadsheets/d/1-uDff_7J0KD5mKrp0Vvzr7lt3OU09vwQwhkpOPPYv2Y/edit?usp=sharing"",""งบพรบ!CD30"")"),0)</f>
        <v>0</v>
      </c>
      <c r="M165" s="47">
        <f ca="1">IFERROR(__xludf.DUMMYFUNCTION("IMPORTRANGE(""https://docs.google.com/spreadsheets/d/1-uDff_7J0KD5mKrp0Vvzr7lt3OU09vwQwhkpOPPYv2Y/edit?usp=sharing"",""งบพรบ!CG30"")"),0)</f>
        <v>0</v>
      </c>
      <c r="N165" s="47">
        <f ca="1">IFERROR(__xludf.DUMMYFUNCTION("IMPORTRANGE(""https://docs.google.com/spreadsheets/d/1-uDff_7J0KD5mKrp0Vvzr7lt3OU09vwQwhkpOPPYv2Y/edit?usp=sharing"",""งบพรบ!CI30"")"),0)</f>
        <v>0</v>
      </c>
      <c r="O165" s="47">
        <f ca="1">IF(L165&gt;0,N165*100/L165,0)</f>
        <v>0</v>
      </c>
      <c r="P165" s="47">
        <f ca="1">IF(M165&gt;0,N165*100/M165,0)</f>
        <v>0</v>
      </c>
    </row>
    <row r="166" spans="1:16" ht="19.5" x14ac:dyDescent="0.3">
      <c r="A166" s="148"/>
      <c r="B166" s="149"/>
      <c r="C166" s="197" t="s">
        <v>16</v>
      </c>
      <c r="D166" s="395" t="s">
        <v>36</v>
      </c>
      <c r="E166" s="151"/>
      <c r="F166" s="151"/>
      <c r="G166" s="152"/>
      <c r="H166" s="196"/>
      <c r="I166" s="45"/>
      <c r="J166" s="45"/>
      <c r="K166" s="46"/>
      <c r="L166" s="46"/>
      <c r="M166" s="46"/>
      <c r="N166" s="46"/>
      <c r="O166" s="46"/>
      <c r="P166" s="46"/>
    </row>
    <row r="167" spans="1:16" ht="18.75" x14ac:dyDescent="0.25">
      <c r="A167" s="136"/>
      <c r="B167" s="41"/>
      <c r="C167" s="41"/>
      <c r="D167" s="254" t="s">
        <v>63</v>
      </c>
      <c r="E167" s="41"/>
      <c r="F167" s="41"/>
      <c r="G167" s="43"/>
      <c r="H167" s="147" t="s">
        <v>33</v>
      </c>
      <c r="I167" s="169">
        <f ca="1">IFERROR(__xludf.DUMMYFUNCTION("IMPORTRANGE(""https://docs.google.com/spreadsheets/d/1eHaY18a8A9IcSdp1K8H6x8fbOy06t2VsZHhMHf-1x7Y/edit?usp=sharing"",""แผน!Z30"")"),10)</f>
        <v>10</v>
      </c>
      <c r="J167" s="250">
        <v>0</v>
      </c>
      <c r="K167" s="47">
        <f ca="1">IF(I167&gt;0,J167*100/I167,0)</f>
        <v>0</v>
      </c>
      <c r="L167" s="46"/>
      <c r="M167" s="46"/>
      <c r="N167" s="46"/>
      <c r="O167" s="46"/>
      <c r="P167" s="46"/>
    </row>
    <row r="168" spans="1:16" ht="18.75" hidden="1" x14ac:dyDescent="0.25">
      <c r="A168" s="136"/>
      <c r="B168" s="41"/>
      <c r="C168" s="41"/>
      <c r="D168" s="279" t="s">
        <v>64</v>
      </c>
      <c r="E168" s="41"/>
      <c r="F168" s="41"/>
      <c r="G168" s="43"/>
      <c r="H168" s="199" t="s">
        <v>33</v>
      </c>
      <c r="I168" s="200">
        <f ca="1">I167</f>
        <v>10</v>
      </c>
      <c r="J168" s="201">
        <v>0</v>
      </c>
      <c r="K168" s="50">
        <f ca="1">IF(I168&gt;0,J168*100/I168,0)</f>
        <v>0</v>
      </c>
      <c r="L168" s="46"/>
      <c r="M168" s="46"/>
      <c r="N168" s="46"/>
      <c r="O168" s="46"/>
      <c r="P168" s="46"/>
    </row>
    <row r="169" spans="1:16" ht="18.75" hidden="1" x14ac:dyDescent="0.25">
      <c r="A169" s="202"/>
      <c r="B169" s="1"/>
      <c r="C169" s="1"/>
      <c r="D169" s="203" t="s">
        <v>65</v>
      </c>
      <c r="E169" s="1"/>
      <c r="F169" s="1"/>
      <c r="G169" s="54"/>
      <c r="H169" s="204" t="s">
        <v>33</v>
      </c>
      <c r="I169" s="205">
        <f ca="1">I167</f>
        <v>10</v>
      </c>
      <c r="J169" s="206">
        <v>0</v>
      </c>
      <c r="K169" s="207">
        <f ca="1">IF(I169&gt;0,J169*100/I169,0)</f>
        <v>0</v>
      </c>
      <c r="L169" s="57"/>
      <c r="M169" s="57"/>
      <c r="N169" s="57"/>
      <c r="O169" s="57"/>
      <c r="P169" s="57"/>
    </row>
    <row r="170" spans="1:16" ht="19.5" x14ac:dyDescent="0.3">
      <c r="A170" s="208" t="s">
        <v>66</v>
      </c>
      <c r="B170" s="209"/>
      <c r="C170" s="209"/>
      <c r="D170" s="209"/>
      <c r="E170" s="210"/>
      <c r="F170" s="210"/>
      <c r="G170" s="210"/>
      <c r="H170" s="210"/>
      <c r="I170" s="211"/>
      <c r="J170" s="211"/>
      <c r="K170" s="212"/>
      <c r="L170" s="212"/>
      <c r="M170" s="212"/>
      <c r="N170" s="212"/>
      <c r="O170" s="212"/>
      <c r="P170" s="213"/>
    </row>
    <row r="171" spans="1:16" ht="19.5" x14ac:dyDescent="0.3">
      <c r="A171" s="214" t="s">
        <v>67</v>
      </c>
      <c r="B171" s="215"/>
      <c r="C171" s="215"/>
      <c r="D171" s="216"/>
      <c r="E171" s="216"/>
      <c r="F171" s="216"/>
      <c r="G171" s="216"/>
      <c r="H171" s="217"/>
      <c r="I171" s="218"/>
      <c r="J171" s="218"/>
      <c r="K171" s="219"/>
      <c r="L171" s="219"/>
      <c r="M171" s="219"/>
      <c r="N171" s="219"/>
      <c r="O171" s="219"/>
      <c r="P171" s="219"/>
    </row>
    <row r="172" spans="1:16" ht="19.5" x14ac:dyDescent="0.3">
      <c r="A172" s="220"/>
      <c r="B172" s="221" t="s">
        <v>68</v>
      </c>
      <c r="C172" s="222"/>
      <c r="D172" s="151"/>
      <c r="E172" s="151"/>
      <c r="F172" s="151"/>
      <c r="G172" s="152"/>
      <c r="H172" s="223" t="s">
        <v>33</v>
      </c>
      <c r="I172" s="224">
        <f ca="1">I183+I184</f>
        <v>7</v>
      </c>
      <c r="J172" s="224">
        <f>J183+J184</f>
        <v>0</v>
      </c>
      <c r="K172" s="225">
        <f ca="1">IF(I172&gt;0,J172*100/I172,0)</f>
        <v>0</v>
      </c>
      <c r="L172" s="226"/>
      <c r="M172" s="226"/>
      <c r="N172" s="226"/>
      <c r="O172" s="226"/>
      <c r="P172" s="226"/>
    </row>
    <row r="173" spans="1:16" ht="19.5" x14ac:dyDescent="0.3">
      <c r="A173" s="136"/>
      <c r="B173" s="41"/>
      <c r="C173" s="197" t="s">
        <v>16</v>
      </c>
      <c r="D173" s="397" t="s">
        <v>17</v>
      </c>
      <c r="E173" s="41"/>
      <c r="F173" s="41"/>
      <c r="G173" s="43"/>
      <c r="H173" s="139" t="s">
        <v>12</v>
      </c>
      <c r="I173" s="45"/>
      <c r="J173" s="45"/>
      <c r="K173" s="46"/>
      <c r="L173" s="140">
        <f ca="1">L174+L175</f>
        <v>19590</v>
      </c>
      <c r="M173" s="140">
        <f ca="1">M174+M175</f>
        <v>19590</v>
      </c>
      <c r="N173" s="140">
        <f ca="1">N174+N175</f>
        <v>0</v>
      </c>
      <c r="O173" s="140">
        <f ca="1">IF(L173&gt;0,N173*100/L173,0)</f>
        <v>0</v>
      </c>
      <c r="P173" s="140">
        <f ca="1">IF(M173&gt;0,N173*100/M173,0)</f>
        <v>0</v>
      </c>
    </row>
    <row r="174" spans="1:16" ht="18.75" hidden="1" x14ac:dyDescent="0.25">
      <c r="A174" s="136"/>
      <c r="B174" s="41"/>
      <c r="C174" s="41"/>
      <c r="D174" s="41"/>
      <c r="E174" s="279" t="s">
        <v>18</v>
      </c>
      <c r="F174" s="41"/>
      <c r="G174" s="43"/>
      <c r="H174" s="141" t="s">
        <v>12</v>
      </c>
      <c r="I174" s="45"/>
      <c r="J174" s="45"/>
      <c r="K174" s="46"/>
      <c r="L174" s="50">
        <f>L177+L180</f>
        <v>0</v>
      </c>
      <c r="M174" s="50">
        <f>M177+M180</f>
        <v>0</v>
      </c>
      <c r="N174" s="50">
        <f>N177+N180</f>
        <v>0</v>
      </c>
      <c r="O174" s="50">
        <f>IF(L174&gt;0,N174*100/L174,0)</f>
        <v>0</v>
      </c>
      <c r="P174" s="50">
        <f>IF(M174&gt;0,N174*100/M174,0)</f>
        <v>0</v>
      </c>
    </row>
    <row r="175" spans="1:16" ht="18.75" x14ac:dyDescent="0.25">
      <c r="A175" s="136"/>
      <c r="B175" s="41"/>
      <c r="C175" s="41"/>
      <c r="D175" s="41"/>
      <c r="E175" s="254" t="s">
        <v>19</v>
      </c>
      <c r="F175" s="41"/>
      <c r="G175" s="43"/>
      <c r="H175" s="142" t="s">
        <v>12</v>
      </c>
      <c r="I175" s="45"/>
      <c r="J175" s="45"/>
      <c r="K175" s="46"/>
      <c r="L175" s="47">
        <f ca="1">L178+L181</f>
        <v>19590</v>
      </c>
      <c r="M175" s="47">
        <f ca="1">M178+M181</f>
        <v>19590</v>
      </c>
      <c r="N175" s="47">
        <f ca="1">N178+N181</f>
        <v>0</v>
      </c>
      <c r="O175" s="47">
        <f ca="1">IF(L175&gt;0,N175*100/L175,0)</f>
        <v>0</v>
      </c>
      <c r="P175" s="47">
        <f ca="1">IF(M175&gt;0,N175*100/M175,0)</f>
        <v>0</v>
      </c>
    </row>
    <row r="176" spans="1:16" ht="18.75" x14ac:dyDescent="0.25">
      <c r="A176" s="136"/>
      <c r="B176" s="41"/>
      <c r="C176" s="41"/>
      <c r="D176" s="42" t="s">
        <v>20</v>
      </c>
      <c r="E176" s="41"/>
      <c r="F176" s="41"/>
      <c r="G176" s="43"/>
      <c r="H176" s="143" t="s">
        <v>12</v>
      </c>
      <c r="I176" s="144"/>
      <c r="J176" s="144"/>
      <c r="K176" s="145"/>
      <c r="L176" s="47">
        <f ca="1">L177+L178</f>
        <v>19590</v>
      </c>
      <c r="M176" s="47">
        <f ca="1">M177+M178</f>
        <v>19590</v>
      </c>
      <c r="N176" s="47">
        <f ca="1">N177+N178</f>
        <v>0</v>
      </c>
      <c r="O176" s="47">
        <f ca="1">IF(L176&gt;0,N176*100/L176,0)</f>
        <v>0</v>
      </c>
      <c r="P176" s="47">
        <f ca="1">IF(M176&gt;0,N176*100/M176,0)</f>
        <v>0</v>
      </c>
    </row>
    <row r="177" spans="1:16" ht="18.75" hidden="1" x14ac:dyDescent="0.25">
      <c r="A177" s="136"/>
      <c r="B177" s="41"/>
      <c r="C177" s="41"/>
      <c r="D177" s="41"/>
      <c r="E177" s="279" t="s">
        <v>34</v>
      </c>
      <c r="F177" s="41"/>
      <c r="G177" s="43"/>
      <c r="H177" s="146" t="s">
        <v>12</v>
      </c>
      <c r="I177" s="144"/>
      <c r="J177" s="144"/>
      <c r="K177" s="145"/>
      <c r="L177" s="50">
        <v>0</v>
      </c>
      <c r="M177" s="50">
        <v>0</v>
      </c>
      <c r="N177" s="50">
        <v>0</v>
      </c>
      <c r="O177" s="50">
        <f>IF(L177&gt;0,N177*100/L177,0)</f>
        <v>0</v>
      </c>
      <c r="P177" s="50">
        <f>IF(M177&gt;0,N177*100/M177,0)</f>
        <v>0</v>
      </c>
    </row>
    <row r="178" spans="1:16" ht="18.75" x14ac:dyDescent="0.25">
      <c r="A178" s="136"/>
      <c r="B178" s="41"/>
      <c r="C178" s="41"/>
      <c r="D178" s="41"/>
      <c r="E178" s="254" t="s">
        <v>35</v>
      </c>
      <c r="F178" s="41"/>
      <c r="G178" s="43"/>
      <c r="H178" s="143" t="s">
        <v>12</v>
      </c>
      <c r="I178" s="144"/>
      <c r="J178" s="144"/>
      <c r="K178" s="145"/>
      <c r="L178" s="47">
        <f ca="1">IFERROR(__xludf.DUMMYFUNCTION("IMPORTRANGE(""https://docs.google.com/spreadsheets/d/1-uDff_7J0KD5mKrp0Vvzr7lt3OU09vwQwhkpOPPYv2Y/edit?usp=sharing"",""งบพรบ!CK30"")"),19590)</f>
        <v>19590</v>
      </c>
      <c r="M178" s="47">
        <f ca="1">IFERROR(__xludf.DUMMYFUNCTION("IMPORTRANGE(""https://docs.google.com/spreadsheets/d/1-uDff_7J0KD5mKrp0Vvzr7lt3OU09vwQwhkpOPPYv2Y/edit?usp=sharing"",""งบพรบ!CP30"")"),19590)</f>
        <v>19590</v>
      </c>
      <c r="N178" s="47">
        <f ca="1">IFERROR(__xludf.DUMMYFUNCTION("IMPORTRANGE(""https://docs.google.com/spreadsheets/d/1-uDff_7J0KD5mKrp0Vvzr7lt3OU09vwQwhkpOPPYv2Y/edit?usp=sharing"",""งบพรบ!CR30"")"),0)</f>
        <v>0</v>
      </c>
      <c r="O178" s="47">
        <f ca="1">IF(L178&gt;0,N178*100/L178,0)</f>
        <v>0</v>
      </c>
      <c r="P178" s="47">
        <f ca="1">IF(M178&gt;0,N178*100/M178,0)</f>
        <v>0</v>
      </c>
    </row>
    <row r="179" spans="1:16" ht="18.75" x14ac:dyDescent="0.25">
      <c r="A179" s="136"/>
      <c r="B179" s="41"/>
      <c r="C179" s="41"/>
      <c r="D179" s="42" t="s">
        <v>21</v>
      </c>
      <c r="E179" s="41"/>
      <c r="F179" s="41"/>
      <c r="G179" s="43"/>
      <c r="H179" s="147" t="s">
        <v>12</v>
      </c>
      <c r="I179" s="144"/>
      <c r="J179" s="144"/>
      <c r="K179" s="145"/>
      <c r="L179" s="47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</row>
    <row r="180" spans="1:16" ht="18.75" hidden="1" x14ac:dyDescent="0.25">
      <c r="A180" s="136"/>
      <c r="B180" s="41"/>
      <c r="C180" s="41"/>
      <c r="D180" s="41"/>
      <c r="E180" s="279" t="s">
        <v>18</v>
      </c>
      <c r="F180" s="41"/>
      <c r="G180" s="43"/>
      <c r="H180" s="146" t="s">
        <v>12</v>
      </c>
      <c r="I180" s="144"/>
      <c r="J180" s="144"/>
      <c r="K180" s="145"/>
      <c r="L180" s="50">
        <v>0</v>
      </c>
      <c r="M180" s="50">
        <v>0</v>
      </c>
      <c r="N180" s="50">
        <v>0</v>
      </c>
      <c r="O180" s="50">
        <f>IF(L180&gt;0,N180*100/L180,0)</f>
        <v>0</v>
      </c>
      <c r="P180" s="50">
        <f>IF(M180&gt;0,N180*100/M180,0)</f>
        <v>0</v>
      </c>
    </row>
    <row r="181" spans="1:16" ht="18.75" x14ac:dyDescent="0.25">
      <c r="A181" s="136"/>
      <c r="B181" s="41"/>
      <c r="C181" s="41"/>
      <c r="D181" s="41"/>
      <c r="E181" s="254" t="s">
        <v>19</v>
      </c>
      <c r="F181" s="41"/>
      <c r="G181" s="43"/>
      <c r="H181" s="147" t="s">
        <v>12</v>
      </c>
      <c r="I181" s="144"/>
      <c r="J181" s="144"/>
      <c r="K181" s="145"/>
      <c r="L181" s="47">
        <f ca="1">IFERROR(__xludf.DUMMYFUNCTION("IMPORTRANGE(""https://docs.google.com/spreadsheets/d/1-uDff_7J0KD5mKrp0Vvzr7lt3OU09vwQwhkpOPPYv2Y/edit?usp=sharing"",""งบพรบ!CN30"")"),0)</f>
        <v>0</v>
      </c>
      <c r="M181" s="47">
        <f ca="1">IFERROR(__xludf.DUMMYFUNCTION("IMPORTRANGE(""https://docs.google.com/spreadsheets/d/1-uDff_7J0KD5mKrp0Vvzr7lt3OU09vwQwhkpOPPYv2Y/edit?usp=sharing"",""งบพรบ!CQ30"")"),0)</f>
        <v>0</v>
      </c>
      <c r="N181" s="47">
        <f ca="1">IFERROR(__xludf.DUMMYFUNCTION("IMPORTRANGE(""https://docs.google.com/spreadsheets/d/1-uDff_7J0KD5mKrp0Vvzr7lt3OU09vwQwhkpOPPYv2Y/edit?usp=sharing"",""งบพรบ!CS30"")"),0)</f>
        <v>0</v>
      </c>
      <c r="O181" s="47">
        <f ca="1">IF(L181&gt;0,N181*100/L181,0)</f>
        <v>0</v>
      </c>
      <c r="P181" s="47">
        <f ca="1">IF(M181&gt;0,N181*100/M181,0)</f>
        <v>0</v>
      </c>
    </row>
    <row r="182" spans="1:16" ht="19.5" x14ac:dyDescent="0.3">
      <c r="A182" s="148"/>
      <c r="B182" s="149"/>
      <c r="C182" s="197" t="s">
        <v>16</v>
      </c>
      <c r="D182" s="395" t="s">
        <v>36</v>
      </c>
      <c r="E182" s="151"/>
      <c r="F182" s="151"/>
      <c r="G182" s="152"/>
      <c r="H182" s="196"/>
      <c r="I182" s="45"/>
      <c r="J182" s="45"/>
      <c r="K182" s="46"/>
      <c r="L182" s="46"/>
      <c r="M182" s="46"/>
      <c r="N182" s="46"/>
      <c r="O182" s="46"/>
      <c r="P182" s="46"/>
    </row>
    <row r="183" spans="1:16" ht="18.75" x14ac:dyDescent="0.25">
      <c r="A183" s="227"/>
      <c r="B183" s="41"/>
      <c r="C183" s="228"/>
      <c r="D183" s="229" t="s">
        <v>69</v>
      </c>
      <c r="E183" s="41"/>
      <c r="F183" s="41"/>
      <c r="G183" s="43"/>
      <c r="H183" s="230" t="s">
        <v>33</v>
      </c>
      <c r="I183" s="169">
        <f ca="1">IFERROR(__xludf.DUMMYFUNCTION("IMPORTRANGE(""https://docs.google.com/spreadsheets/d/1eHaY18a8A9IcSdp1K8H6x8fbOy06t2VsZHhMHf-1x7Y/edit?usp=sharing"",""แผน!AA30"")"),7)</f>
        <v>7</v>
      </c>
      <c r="J183" s="250">
        <v>0</v>
      </c>
      <c r="K183" s="47">
        <f ca="1">IF(I183&gt;0,J183*100/I183,0)</f>
        <v>0</v>
      </c>
      <c r="L183" s="46"/>
      <c r="M183" s="46"/>
      <c r="N183" s="46"/>
      <c r="O183" s="46"/>
      <c r="P183" s="46"/>
    </row>
    <row r="184" spans="1:16" ht="18.75" hidden="1" x14ac:dyDescent="0.25">
      <c r="A184" s="227"/>
      <c r="B184" s="228"/>
      <c r="C184" s="228"/>
      <c r="D184" s="231" t="s">
        <v>70</v>
      </c>
      <c r="E184" s="41"/>
      <c r="F184" s="41"/>
      <c r="G184" s="43"/>
      <c r="H184" s="232" t="s">
        <v>33</v>
      </c>
      <c r="I184" s="200">
        <v>0</v>
      </c>
      <c r="J184" s="200">
        <v>0</v>
      </c>
      <c r="K184" s="50">
        <f>IF(I184&gt;0,J184*100/I184,0)</f>
        <v>0</v>
      </c>
      <c r="L184" s="46"/>
      <c r="M184" s="46"/>
      <c r="N184" s="46"/>
      <c r="O184" s="46"/>
      <c r="P184" s="46"/>
    </row>
    <row r="185" spans="1:16" ht="19.5" x14ac:dyDescent="0.3">
      <c r="A185" s="220"/>
      <c r="B185" s="221" t="s">
        <v>71</v>
      </c>
      <c r="C185" s="222"/>
      <c r="D185" s="151"/>
      <c r="E185" s="151"/>
      <c r="F185" s="151"/>
      <c r="G185" s="152"/>
      <c r="H185" s="223" t="s">
        <v>33</v>
      </c>
      <c r="I185" s="224">
        <f ca="1">I230+I231</f>
        <v>0</v>
      </c>
      <c r="J185" s="224">
        <f>J230+J231</f>
        <v>0</v>
      </c>
      <c r="K185" s="225">
        <f ca="1">IF(I185&gt;0,J185*100/I185,0)</f>
        <v>0</v>
      </c>
      <c r="L185" s="226"/>
      <c r="M185" s="226"/>
      <c r="N185" s="226"/>
      <c r="O185" s="226"/>
      <c r="P185" s="226"/>
    </row>
    <row r="186" spans="1:16" ht="19.5" x14ac:dyDescent="0.3">
      <c r="A186" s="136"/>
      <c r="B186" s="41"/>
      <c r="C186" s="197" t="s">
        <v>16</v>
      </c>
      <c r="D186" s="397" t="s">
        <v>17</v>
      </c>
      <c r="E186" s="41"/>
      <c r="F186" s="41"/>
      <c r="G186" s="43"/>
      <c r="H186" s="139" t="s">
        <v>12</v>
      </c>
      <c r="I186" s="45"/>
      <c r="J186" s="45"/>
      <c r="K186" s="46"/>
      <c r="L186" s="140">
        <f ca="1">L187+L188</f>
        <v>40500</v>
      </c>
      <c r="M186" s="140">
        <f ca="1">M187+M188</f>
        <v>22500</v>
      </c>
      <c r="N186" s="140">
        <f ca="1">N187+N188</f>
        <v>0</v>
      </c>
      <c r="O186" s="140">
        <f ca="1">IF(L186&gt;0,N186*100/L186,0)</f>
        <v>0</v>
      </c>
      <c r="P186" s="140">
        <f ca="1">IF(M186&gt;0,N186*100/M186,0)</f>
        <v>0</v>
      </c>
    </row>
    <row r="187" spans="1:16" ht="18.75" hidden="1" x14ac:dyDescent="0.25">
      <c r="A187" s="136"/>
      <c r="B187" s="41"/>
      <c r="C187" s="41"/>
      <c r="D187" s="41"/>
      <c r="E187" s="279" t="s">
        <v>18</v>
      </c>
      <c r="F187" s="41"/>
      <c r="G187" s="43"/>
      <c r="H187" s="141" t="s">
        <v>12</v>
      </c>
      <c r="I187" s="45"/>
      <c r="J187" s="45"/>
      <c r="K187" s="46"/>
      <c r="L187" s="50">
        <f>L190+L193</f>
        <v>0</v>
      </c>
      <c r="M187" s="50">
        <f>M190+M193</f>
        <v>0</v>
      </c>
      <c r="N187" s="50">
        <f>N190+N193</f>
        <v>0</v>
      </c>
      <c r="O187" s="50">
        <f>IF(L187&gt;0,N187*100/L187,0)</f>
        <v>0</v>
      </c>
      <c r="P187" s="50">
        <f>IF(M187&gt;0,N187*100/M187,0)</f>
        <v>0</v>
      </c>
    </row>
    <row r="188" spans="1:16" ht="18.75" x14ac:dyDescent="0.25">
      <c r="A188" s="136"/>
      <c r="B188" s="41"/>
      <c r="C188" s="41"/>
      <c r="D188" s="41"/>
      <c r="E188" s="254" t="s">
        <v>19</v>
      </c>
      <c r="F188" s="41"/>
      <c r="G188" s="43"/>
      <c r="H188" s="142" t="s">
        <v>12</v>
      </c>
      <c r="I188" s="45"/>
      <c r="J188" s="45"/>
      <c r="K188" s="46"/>
      <c r="L188" s="47">
        <f ca="1">L191+L194</f>
        <v>40500</v>
      </c>
      <c r="M188" s="47">
        <f ca="1">M191+M194</f>
        <v>22500</v>
      </c>
      <c r="N188" s="47">
        <f ca="1">N191+N194</f>
        <v>0</v>
      </c>
      <c r="O188" s="47">
        <f ca="1">IF(L188&gt;0,N188*100/L188,0)</f>
        <v>0</v>
      </c>
      <c r="P188" s="47">
        <f ca="1">IF(M188&gt;0,N188*100/M188,0)</f>
        <v>0</v>
      </c>
    </row>
    <row r="189" spans="1:16" ht="18.75" x14ac:dyDescent="0.25">
      <c r="A189" s="136"/>
      <c r="B189" s="41"/>
      <c r="C189" s="41"/>
      <c r="D189" s="42" t="s">
        <v>20</v>
      </c>
      <c r="E189" s="41"/>
      <c r="F189" s="41"/>
      <c r="G189" s="43"/>
      <c r="H189" s="143" t="s">
        <v>12</v>
      </c>
      <c r="I189" s="144"/>
      <c r="J189" s="144"/>
      <c r="K189" s="145"/>
      <c r="L189" s="47">
        <f ca="1">L190+L191</f>
        <v>40500</v>
      </c>
      <c r="M189" s="47">
        <f ca="1">M190+M191</f>
        <v>22500</v>
      </c>
      <c r="N189" s="47">
        <f ca="1">N190+N191</f>
        <v>0</v>
      </c>
      <c r="O189" s="47">
        <f ca="1">IF(L189&gt;0,N189*100/L189,0)</f>
        <v>0</v>
      </c>
      <c r="P189" s="47">
        <f ca="1">IF(M189&gt;0,N189*100/M189,0)</f>
        <v>0</v>
      </c>
    </row>
    <row r="190" spans="1:16" ht="18.75" hidden="1" x14ac:dyDescent="0.25">
      <c r="A190" s="136"/>
      <c r="B190" s="41"/>
      <c r="C190" s="41"/>
      <c r="D190" s="41"/>
      <c r="E190" s="279" t="s">
        <v>34</v>
      </c>
      <c r="F190" s="41"/>
      <c r="G190" s="43"/>
      <c r="H190" s="146" t="s">
        <v>12</v>
      </c>
      <c r="I190" s="144"/>
      <c r="J190" s="144"/>
      <c r="K190" s="145"/>
      <c r="L190" s="50">
        <v>0</v>
      </c>
      <c r="M190" s="50">
        <v>0</v>
      </c>
      <c r="N190" s="50">
        <v>0</v>
      </c>
      <c r="O190" s="50">
        <f>IF(L190&gt;0,N190*100/L190,0)</f>
        <v>0</v>
      </c>
      <c r="P190" s="50">
        <f>IF(M190&gt;0,N190*100/M190,0)</f>
        <v>0</v>
      </c>
    </row>
    <row r="191" spans="1:16" ht="18.75" x14ac:dyDescent="0.25">
      <c r="A191" s="136"/>
      <c r="B191" s="41"/>
      <c r="C191" s="41"/>
      <c r="D191" s="41"/>
      <c r="E191" s="254" t="s">
        <v>35</v>
      </c>
      <c r="F191" s="41"/>
      <c r="G191" s="43"/>
      <c r="H191" s="143" t="s">
        <v>12</v>
      </c>
      <c r="I191" s="144"/>
      <c r="J191" s="144"/>
      <c r="K191" s="145"/>
      <c r="L191" s="47">
        <f ca="1">IFERROR(__xludf.DUMMYFUNCTION("IMPORTRANGE(""https://docs.google.com/spreadsheets/d/1-uDff_7J0KD5mKrp0Vvzr7lt3OU09vwQwhkpOPPYv2Y/edit?usp=sharing"",""งบพรบ!CU30"")"),40500)</f>
        <v>40500</v>
      </c>
      <c r="M191" s="47">
        <f ca="1">IFERROR(__xludf.DUMMYFUNCTION("IMPORTRANGE(""https://docs.google.com/spreadsheets/d/1-uDff_7J0KD5mKrp0Vvzr7lt3OU09vwQwhkpOPPYv2Y/edit?usp=sharing"",""งบพรบ!CZ30"")"),22500)</f>
        <v>22500</v>
      </c>
      <c r="N191" s="47">
        <f ca="1">IFERROR(__xludf.DUMMYFUNCTION("IMPORTRANGE(""https://docs.google.com/spreadsheets/d/1-uDff_7J0KD5mKrp0Vvzr7lt3OU09vwQwhkpOPPYv2Y/edit?usp=sharing"",""งบพรบ!DB30"")"),0)</f>
        <v>0</v>
      </c>
      <c r="O191" s="47">
        <f ca="1">IF(L191&gt;0,N191*100/L191,0)</f>
        <v>0</v>
      </c>
      <c r="P191" s="47">
        <f ca="1">IF(M191&gt;0,N191*100/M191,0)</f>
        <v>0</v>
      </c>
    </row>
    <row r="192" spans="1:16" ht="18.75" x14ac:dyDescent="0.25">
      <c r="A192" s="136"/>
      <c r="B192" s="41"/>
      <c r="C192" s="41"/>
      <c r="D192" s="42" t="s">
        <v>21</v>
      </c>
      <c r="E192" s="41"/>
      <c r="F192" s="41"/>
      <c r="G192" s="43"/>
      <c r="H192" s="147" t="s">
        <v>12</v>
      </c>
      <c r="I192" s="144"/>
      <c r="J192" s="144"/>
      <c r="K192" s="145"/>
      <c r="L192" s="47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</row>
    <row r="193" spans="1:16" ht="18.75" hidden="1" x14ac:dyDescent="0.25">
      <c r="A193" s="136"/>
      <c r="B193" s="41"/>
      <c r="C193" s="41"/>
      <c r="D193" s="41"/>
      <c r="E193" s="279" t="s">
        <v>18</v>
      </c>
      <c r="F193" s="41"/>
      <c r="G193" s="43"/>
      <c r="H193" s="146" t="s">
        <v>12</v>
      </c>
      <c r="I193" s="144"/>
      <c r="J193" s="144"/>
      <c r="K193" s="145"/>
      <c r="L193" s="50">
        <v>0</v>
      </c>
      <c r="M193" s="50">
        <v>0</v>
      </c>
      <c r="N193" s="50">
        <v>0</v>
      </c>
      <c r="O193" s="50">
        <f>IF(L193&gt;0,N193*100/L193,0)</f>
        <v>0</v>
      </c>
      <c r="P193" s="50">
        <f>IF(M193&gt;0,N193*100/M193,0)</f>
        <v>0</v>
      </c>
    </row>
    <row r="194" spans="1:16" ht="18.75" x14ac:dyDescent="0.25">
      <c r="A194" s="136"/>
      <c r="B194" s="41"/>
      <c r="C194" s="41"/>
      <c r="D194" s="41"/>
      <c r="E194" s="254" t="s">
        <v>19</v>
      </c>
      <c r="F194" s="41"/>
      <c r="G194" s="43"/>
      <c r="H194" s="147" t="s">
        <v>12</v>
      </c>
      <c r="I194" s="144"/>
      <c r="J194" s="144"/>
      <c r="K194" s="145"/>
      <c r="L194" s="47">
        <f ca="1">IFERROR(__xludf.DUMMYFUNCTION("IMPORTRANGE(""https://docs.google.com/spreadsheets/d/1-uDff_7J0KD5mKrp0Vvzr7lt3OU09vwQwhkpOPPYv2Y/edit?usp=sharing"",""งบพรบ!CX30"")"),0)</f>
        <v>0</v>
      </c>
      <c r="M194" s="47">
        <f ca="1">IFERROR(__xludf.DUMMYFUNCTION("IMPORTRANGE(""https://docs.google.com/spreadsheets/d/1-uDff_7J0KD5mKrp0Vvzr7lt3OU09vwQwhkpOPPYv2Y/edit?usp=sharing"",""งบพรบ!DA30"")"),0)</f>
        <v>0</v>
      </c>
      <c r="N194" s="47">
        <f ca="1">IFERROR(__xludf.DUMMYFUNCTION("IMPORTRANGE(""https://docs.google.com/spreadsheets/d/1-uDff_7J0KD5mKrp0Vvzr7lt3OU09vwQwhkpOPPYv2Y/edit?usp=sharing"",""งบพรบ!DC30"")"),0)</f>
        <v>0</v>
      </c>
      <c r="O194" s="47">
        <f ca="1">IF(L194&gt;0,N194*100/L194,0)</f>
        <v>0</v>
      </c>
      <c r="P194" s="47">
        <f ca="1">IF(M194&gt;0,N194*100/M194,0)</f>
        <v>0</v>
      </c>
    </row>
    <row r="195" spans="1:16" ht="19.5" x14ac:dyDescent="0.3">
      <c r="A195" s="233"/>
      <c r="B195" s="234"/>
      <c r="C195" s="235" t="s">
        <v>72</v>
      </c>
      <c r="D195" s="236"/>
      <c r="E195" s="236"/>
      <c r="F195" s="236"/>
      <c r="G195" s="237"/>
      <c r="H195" s="238" t="s">
        <v>73</v>
      </c>
      <c r="I195" s="239">
        <f ca="1">I198</f>
        <v>4</v>
      </c>
      <c r="J195" s="239">
        <f>J198</f>
        <v>0</v>
      </c>
      <c r="K195" s="240">
        <f ca="1">IF(I195&gt;0,J195*100/I195,0)</f>
        <v>0</v>
      </c>
      <c r="L195" s="241"/>
      <c r="M195" s="241"/>
      <c r="N195" s="241"/>
      <c r="O195" s="241"/>
      <c r="P195" s="241"/>
    </row>
    <row r="196" spans="1:16" ht="19.5" x14ac:dyDescent="0.3">
      <c r="A196" s="136"/>
      <c r="B196" s="41"/>
      <c r="C196" s="197" t="s">
        <v>16</v>
      </c>
      <c r="D196" s="400" t="s">
        <v>17</v>
      </c>
      <c r="E196" s="41"/>
      <c r="F196" s="41"/>
      <c r="G196" s="43"/>
      <c r="H196" s="243" t="s">
        <v>12</v>
      </c>
      <c r="I196" s="45"/>
      <c r="J196" s="45"/>
      <c r="K196" s="46"/>
      <c r="L196" s="140">
        <f ca="1">IFERROR(__xludf.DUMMYFUNCTION("IMPORTRANGE(""https://docs.google.com/spreadsheets/d/1eHaY18a8A9IcSdp1K8H6x8fbOy06t2VsZHhMHf-1x7Y/edit?usp=sharing"",""แผน!AB30"")"),6000)</f>
        <v>6000</v>
      </c>
      <c r="M196" s="46"/>
      <c r="N196" s="244">
        <v>0</v>
      </c>
      <c r="O196" s="140">
        <f ca="1">IF(L196&gt;0,N196*100/L196,0)</f>
        <v>0</v>
      </c>
      <c r="P196" s="140">
        <f>IF(M196&gt;0,N196*100/M196,0)</f>
        <v>0</v>
      </c>
    </row>
    <row r="197" spans="1:16" ht="19.5" x14ac:dyDescent="0.3">
      <c r="A197" s="148"/>
      <c r="B197" s="149"/>
      <c r="C197" s="197" t="s">
        <v>16</v>
      </c>
      <c r="D197" s="395" t="s">
        <v>36</v>
      </c>
      <c r="E197" s="151"/>
      <c r="F197" s="151"/>
      <c r="G197" s="152"/>
      <c r="H197" s="153"/>
      <c r="I197" s="45"/>
      <c r="J197" s="45"/>
      <c r="K197" s="46"/>
      <c r="L197" s="46"/>
      <c r="M197" s="46"/>
      <c r="N197" s="46"/>
      <c r="O197" s="46"/>
      <c r="P197" s="46"/>
    </row>
    <row r="198" spans="1:16" ht="18.75" x14ac:dyDescent="0.25">
      <c r="A198" s="148"/>
      <c r="B198" s="149"/>
      <c r="C198" s="149"/>
      <c r="D198" s="159" t="s">
        <v>74</v>
      </c>
      <c r="E198" s="155"/>
      <c r="F198" s="155"/>
      <c r="G198" s="153"/>
      <c r="H198" s="251" t="s">
        <v>73</v>
      </c>
      <c r="I198" s="169">
        <f ca="1">IFERROR(__xludf.DUMMYFUNCTION("IMPORTRANGE(""https://docs.google.com/spreadsheets/d/1eHaY18a8A9IcSdp1K8H6x8fbOy06t2VsZHhMHf-1x7Y/edit?usp=sharing"",""แผน!AE30"")"),4)</f>
        <v>4</v>
      </c>
      <c r="J198" s="250">
        <v>0</v>
      </c>
      <c r="K198" s="47">
        <f ca="1">IF(I198&gt;0,J198*100/I198,0)</f>
        <v>0</v>
      </c>
      <c r="L198" s="46"/>
      <c r="M198" s="46"/>
      <c r="N198" s="46"/>
      <c r="O198" s="46"/>
      <c r="P198" s="46"/>
    </row>
    <row r="199" spans="1:16" ht="18.75" x14ac:dyDescent="0.25">
      <c r="A199" s="148"/>
      <c r="B199" s="149"/>
      <c r="C199" s="149"/>
      <c r="D199" s="159" t="s">
        <v>75</v>
      </c>
      <c r="E199" s="155"/>
      <c r="F199" s="155"/>
      <c r="G199" s="153"/>
      <c r="H199" s="230" t="s">
        <v>33</v>
      </c>
      <c r="I199" s="45"/>
      <c r="J199" s="169">
        <f>J200+J201</f>
        <v>0</v>
      </c>
      <c r="K199" s="46"/>
      <c r="L199" s="46"/>
      <c r="M199" s="46"/>
      <c r="N199" s="46"/>
      <c r="O199" s="46"/>
      <c r="P199" s="46"/>
    </row>
    <row r="200" spans="1:16" ht="18.75" x14ac:dyDescent="0.25">
      <c r="A200" s="148"/>
      <c r="B200" s="149"/>
      <c r="C200" s="149"/>
      <c r="D200" s="149"/>
      <c r="E200" s="159" t="s">
        <v>76</v>
      </c>
      <c r="F200" s="155"/>
      <c r="G200" s="153"/>
      <c r="H200" s="230" t="s">
        <v>33</v>
      </c>
      <c r="I200" s="45"/>
      <c r="J200" s="250">
        <v>0</v>
      </c>
      <c r="K200" s="46"/>
      <c r="L200" s="46"/>
      <c r="M200" s="46"/>
      <c r="N200" s="46"/>
      <c r="O200" s="46"/>
      <c r="P200" s="46"/>
    </row>
    <row r="201" spans="1:16" ht="18.75" x14ac:dyDescent="0.25">
      <c r="A201" s="148"/>
      <c r="B201" s="149"/>
      <c r="C201" s="149"/>
      <c r="D201" s="149"/>
      <c r="E201" s="159" t="s">
        <v>77</v>
      </c>
      <c r="F201" s="155"/>
      <c r="G201" s="153"/>
      <c r="H201" s="230" t="s">
        <v>33</v>
      </c>
      <c r="I201" s="45"/>
      <c r="J201" s="250">
        <v>0</v>
      </c>
      <c r="K201" s="46"/>
      <c r="L201" s="46"/>
      <c r="M201" s="46"/>
      <c r="N201" s="46"/>
      <c r="O201" s="46"/>
      <c r="P201" s="46"/>
    </row>
    <row r="202" spans="1:16" ht="19.5" x14ac:dyDescent="0.3">
      <c r="A202" s="233"/>
      <c r="B202" s="234"/>
      <c r="C202" s="235" t="s">
        <v>78</v>
      </c>
      <c r="D202" s="236"/>
      <c r="E202" s="236"/>
      <c r="F202" s="236"/>
      <c r="G202" s="237"/>
      <c r="H202" s="245" t="s">
        <v>79</v>
      </c>
      <c r="I202" s="239">
        <f ca="1">I209</f>
        <v>2</v>
      </c>
      <c r="J202" s="239">
        <f>J209</f>
        <v>0</v>
      </c>
      <c r="K202" s="240">
        <f ca="1">IF(I202&gt;0,J202*100/I202,0)</f>
        <v>0</v>
      </c>
      <c r="L202" s="241"/>
      <c r="M202" s="241"/>
      <c r="N202" s="241"/>
      <c r="O202" s="241"/>
      <c r="P202" s="241"/>
    </row>
    <row r="203" spans="1:16" ht="19.5" x14ac:dyDescent="0.3">
      <c r="A203" s="136"/>
      <c r="B203" s="41"/>
      <c r="C203" s="197" t="s">
        <v>16</v>
      </c>
      <c r="D203" s="400" t="s">
        <v>17</v>
      </c>
      <c r="E203" s="41"/>
      <c r="F203" s="41"/>
      <c r="G203" s="43"/>
      <c r="H203" s="243" t="s">
        <v>12</v>
      </c>
      <c r="I203" s="144"/>
      <c r="J203" s="144"/>
      <c r="K203" s="145"/>
      <c r="L203" s="140">
        <f ca="1">L204+L205+L206+L207</f>
        <v>26000</v>
      </c>
      <c r="M203" s="46"/>
      <c r="N203" s="140">
        <f>N204+N205+N206+N207</f>
        <v>0</v>
      </c>
      <c r="O203" s="140">
        <f ca="1">IF(L203&gt;0,N203*100/L203,0)</f>
        <v>0</v>
      </c>
      <c r="P203" s="140">
        <f>IF(M203&gt;0,N203*100/M203,0)</f>
        <v>0</v>
      </c>
    </row>
    <row r="204" spans="1:16" ht="18.75" x14ac:dyDescent="0.25">
      <c r="A204" s="136"/>
      <c r="B204" s="228"/>
      <c r="C204" s="41"/>
      <c r="D204" s="253" t="s">
        <v>153</v>
      </c>
      <c r="E204" s="41"/>
      <c r="F204" s="41"/>
      <c r="G204" s="43"/>
      <c r="H204" s="143" t="s">
        <v>12</v>
      </c>
      <c r="I204" s="144"/>
      <c r="J204" s="144"/>
      <c r="K204" s="145"/>
      <c r="L204" s="47">
        <f ca="1">IFERROR(__xludf.DUMMYFUNCTION("IMPORTRANGE(""https://docs.google.com/spreadsheets/d/1eHaY18a8A9IcSdp1K8H6x8fbOy06t2VsZHhMHf-1x7Y/edit?usp=sharing"",""แผน!AG30"")"),2000)</f>
        <v>2000</v>
      </c>
      <c r="M204" s="46"/>
      <c r="N204" s="248">
        <v>0</v>
      </c>
      <c r="O204" s="145"/>
      <c r="P204" s="46"/>
    </row>
    <row r="205" spans="1:16" ht="18.75" x14ac:dyDescent="0.25">
      <c r="A205" s="227"/>
      <c r="B205" s="228"/>
      <c r="C205" s="41"/>
      <c r="D205" s="254" t="s">
        <v>81</v>
      </c>
      <c r="E205" s="41"/>
      <c r="F205" s="41"/>
      <c r="G205" s="43"/>
      <c r="H205" s="44" t="s">
        <v>12</v>
      </c>
      <c r="I205" s="45"/>
      <c r="J205" s="45"/>
      <c r="K205" s="46"/>
      <c r="L205" s="47">
        <f ca="1">IFERROR(__xludf.DUMMYFUNCTION("IMPORTRANGE(""https://docs.google.com/spreadsheets/d/1eHaY18a8A9IcSdp1K8H6x8fbOy06t2VsZHhMHf-1x7Y/edit?usp=sharing"",""แผน!AH30"")"),0)</f>
        <v>0</v>
      </c>
      <c r="M205" s="46"/>
      <c r="N205" s="248">
        <v>0</v>
      </c>
      <c r="O205" s="145"/>
      <c r="P205" s="46"/>
    </row>
    <row r="206" spans="1:16" ht="18.75" x14ac:dyDescent="0.25">
      <c r="A206" s="227"/>
      <c r="B206" s="228"/>
      <c r="C206" s="41"/>
      <c r="D206" s="254" t="s">
        <v>82</v>
      </c>
      <c r="E206" s="41"/>
      <c r="F206" s="41"/>
      <c r="G206" s="43"/>
      <c r="H206" s="44" t="s">
        <v>12</v>
      </c>
      <c r="I206" s="45"/>
      <c r="J206" s="45"/>
      <c r="K206" s="46"/>
      <c r="L206" s="47">
        <f ca="1">IFERROR(__xludf.DUMMYFUNCTION("IMPORTRANGE(""https://docs.google.com/spreadsheets/d/1eHaY18a8A9IcSdp1K8H6x8fbOy06t2VsZHhMHf-1x7Y/edit?usp=sharing"",""แผน!AI30"")"),16000)</f>
        <v>16000</v>
      </c>
      <c r="M206" s="46"/>
      <c r="N206" s="248">
        <v>0</v>
      </c>
      <c r="O206" s="145"/>
      <c r="P206" s="46"/>
    </row>
    <row r="207" spans="1:16" ht="18.75" x14ac:dyDescent="0.25">
      <c r="A207" s="227"/>
      <c r="B207" s="228"/>
      <c r="C207" s="41"/>
      <c r="D207" s="254" t="s">
        <v>83</v>
      </c>
      <c r="E207" s="41"/>
      <c r="F207" s="41"/>
      <c r="G207" s="43"/>
      <c r="H207" s="44" t="s">
        <v>12</v>
      </c>
      <c r="I207" s="45"/>
      <c r="J207" s="45"/>
      <c r="K207" s="46"/>
      <c r="L207" s="47">
        <f ca="1">IFERROR(__xludf.DUMMYFUNCTION("IMPORTRANGE(""https://docs.google.com/spreadsheets/d/1eHaY18a8A9IcSdp1K8H6x8fbOy06t2VsZHhMHf-1x7Y/edit?usp=sharing"",""แผน!AJ30"")"),8000)</f>
        <v>8000</v>
      </c>
      <c r="M207" s="46"/>
      <c r="N207" s="248">
        <v>0</v>
      </c>
      <c r="O207" s="145"/>
      <c r="P207" s="46"/>
    </row>
    <row r="208" spans="1:16" ht="19.5" x14ac:dyDescent="0.3">
      <c r="A208" s="148"/>
      <c r="B208" s="149"/>
      <c r="C208" s="197" t="s">
        <v>16</v>
      </c>
      <c r="D208" s="395" t="s">
        <v>36</v>
      </c>
      <c r="E208" s="151"/>
      <c r="F208" s="151"/>
      <c r="G208" s="152"/>
      <c r="H208" s="153"/>
      <c r="I208" s="144"/>
      <c r="J208" s="144"/>
      <c r="K208" s="145"/>
      <c r="L208" s="145"/>
      <c r="M208" s="145"/>
      <c r="N208" s="145"/>
      <c r="O208" s="145"/>
      <c r="P208" s="145"/>
    </row>
    <row r="209" spans="1:16" ht="18.75" x14ac:dyDescent="0.25">
      <c r="A209" s="148"/>
      <c r="B209" s="149"/>
      <c r="C209" s="149"/>
      <c r="D209" s="154" t="s">
        <v>84</v>
      </c>
      <c r="E209" s="155"/>
      <c r="F209" s="155"/>
      <c r="G209" s="153"/>
      <c r="H209" s="249" t="s">
        <v>79</v>
      </c>
      <c r="I209" s="169">
        <f ca="1">IFERROR(__xludf.DUMMYFUNCTION("IMPORTRANGE(""https://docs.google.com/spreadsheets/d/1eHaY18a8A9IcSdp1K8H6x8fbOy06t2VsZHhMHf-1x7Y/edit?usp=sharing"",""แผน!AK30"")"),2)</f>
        <v>2</v>
      </c>
      <c r="J209" s="250">
        <v>0</v>
      </c>
      <c r="K209" s="163">
        <f ca="1">IF(I209&gt;0,J209*100/I209,0)</f>
        <v>0</v>
      </c>
      <c r="L209" s="46"/>
      <c r="M209" s="46"/>
      <c r="N209" s="46"/>
      <c r="O209" s="46"/>
      <c r="P209" s="46"/>
    </row>
    <row r="210" spans="1:16" ht="18.75" x14ac:dyDescent="0.25">
      <c r="A210" s="148"/>
      <c r="B210" s="149"/>
      <c r="C210" s="149"/>
      <c r="D210" s="159" t="s">
        <v>48</v>
      </c>
      <c r="E210" s="155"/>
      <c r="F210" s="155"/>
      <c r="G210" s="153"/>
      <c r="H210" s="153"/>
      <c r="I210" s="45"/>
      <c r="J210" s="45"/>
      <c r="K210" s="145"/>
      <c r="L210" s="46"/>
      <c r="M210" s="46"/>
      <c r="N210" s="46"/>
      <c r="O210" s="46"/>
      <c r="P210" s="46"/>
    </row>
    <row r="211" spans="1:16" ht="18.75" x14ac:dyDescent="0.25">
      <c r="A211" s="148"/>
      <c r="B211" s="149"/>
      <c r="C211" s="149"/>
      <c r="D211" s="155"/>
      <c r="E211" s="159" t="s">
        <v>85</v>
      </c>
      <c r="F211" s="155"/>
      <c r="G211" s="153"/>
      <c r="H211" s="249" t="s">
        <v>79</v>
      </c>
      <c r="I211" s="169">
        <f ca="1">IFERROR(__xludf.DUMMYFUNCTION("IMPORTRANGE(""https://docs.google.com/spreadsheets/d/1eHaY18a8A9IcSdp1K8H6x8fbOy06t2VsZHhMHf-1x7Y/edit?usp=sharing"",""แผน!AK30"")"),2)</f>
        <v>2</v>
      </c>
      <c r="J211" s="250">
        <v>0</v>
      </c>
      <c r="K211" s="163">
        <f ca="1">IF(I211&gt;0,J211*100/I211,0)</f>
        <v>0</v>
      </c>
      <c r="L211" s="46"/>
      <c r="M211" s="46"/>
      <c r="N211" s="46"/>
      <c r="O211" s="46"/>
      <c r="P211" s="46"/>
    </row>
    <row r="212" spans="1:16" ht="18.75" x14ac:dyDescent="0.25">
      <c r="A212" s="148"/>
      <c r="B212" s="149"/>
      <c r="C212" s="149"/>
      <c r="D212" s="155"/>
      <c r="E212" s="159" t="s">
        <v>86</v>
      </c>
      <c r="F212" s="155"/>
      <c r="G212" s="155"/>
      <c r="H212" s="251" t="s">
        <v>87</v>
      </c>
      <c r="I212" s="169">
        <f ca="1">IFERROR(__xludf.DUMMYFUNCTION("IMPORTRANGE(""https://docs.google.com/spreadsheets/d/1eHaY18a8A9IcSdp1K8H6x8fbOy06t2VsZHhMHf-1x7Y/edit?usp=sharing"",""แผน!AK30"")"),2)</f>
        <v>2</v>
      </c>
      <c r="J212" s="250">
        <v>0</v>
      </c>
      <c r="K212" s="163">
        <f ca="1">IF(I212&gt;0,J212*100/I212,0)</f>
        <v>0</v>
      </c>
      <c r="L212" s="46"/>
      <c r="M212" s="46"/>
      <c r="N212" s="46"/>
      <c r="O212" s="46"/>
      <c r="P212" s="46"/>
    </row>
    <row r="213" spans="1:16" ht="19.5" hidden="1" x14ac:dyDescent="0.3">
      <c r="A213" s="233"/>
      <c r="B213" s="234"/>
      <c r="C213" s="235" t="s">
        <v>88</v>
      </c>
      <c r="D213" s="236"/>
      <c r="E213" s="236"/>
      <c r="F213" s="236"/>
      <c r="G213" s="237"/>
      <c r="H213" s="245" t="s">
        <v>79</v>
      </c>
      <c r="I213" s="239">
        <f ca="1">I220</f>
        <v>0</v>
      </c>
      <c r="J213" s="239">
        <f>J220</f>
        <v>0</v>
      </c>
      <c r="K213" s="240">
        <f ca="1">IF(I213&gt;0,J213*100/I213,0)</f>
        <v>0</v>
      </c>
      <c r="L213" s="241"/>
      <c r="M213" s="241"/>
      <c r="N213" s="241"/>
      <c r="O213" s="241"/>
      <c r="P213" s="241"/>
    </row>
    <row r="214" spans="1:16" ht="19.5" hidden="1" x14ac:dyDescent="0.3">
      <c r="A214" s="136"/>
      <c r="B214" s="41"/>
      <c r="C214" s="197" t="s">
        <v>16</v>
      </c>
      <c r="D214" s="400" t="s">
        <v>17</v>
      </c>
      <c r="E214" s="41"/>
      <c r="F214" s="41"/>
      <c r="G214" s="43"/>
      <c r="H214" s="243" t="s">
        <v>12</v>
      </c>
      <c r="I214" s="144"/>
      <c r="J214" s="144"/>
      <c r="K214" s="145"/>
      <c r="L214" s="140">
        <f ca="1">L215+L216+L217</f>
        <v>0</v>
      </c>
      <c r="M214" s="46"/>
      <c r="N214" s="140">
        <f>N215+N216+N217</f>
        <v>0</v>
      </c>
      <c r="O214" s="140">
        <f ca="1">IF(L214&gt;0,N214*100/L214,0)</f>
        <v>0</v>
      </c>
      <c r="P214" s="140">
        <f>IF(M214&gt;0,N214*100/M214,0)</f>
        <v>0</v>
      </c>
    </row>
    <row r="215" spans="1:16" ht="18.75" hidden="1" x14ac:dyDescent="0.25">
      <c r="A215" s="136"/>
      <c r="B215" s="228"/>
      <c r="C215" s="41"/>
      <c r="D215" s="254" t="s">
        <v>80</v>
      </c>
      <c r="E215" s="41"/>
      <c r="F215" s="41"/>
      <c r="G215" s="43"/>
      <c r="H215" s="143" t="s">
        <v>12</v>
      </c>
      <c r="I215" s="144"/>
      <c r="J215" s="144"/>
      <c r="K215" s="145"/>
      <c r="L215" s="47">
        <f ca="1">IFERROR(__xludf.DUMMYFUNCTION("IMPORTRANGE(""https://docs.google.com/spreadsheets/d/1eHaY18a8A9IcSdp1K8H6x8fbOy06t2VsZHhMHf-1x7Y/edit?usp=sharing"",""แผน!AM30"")"),0)</f>
        <v>0</v>
      </c>
      <c r="M215" s="46"/>
      <c r="N215" s="248">
        <v>0</v>
      </c>
      <c r="O215" s="145"/>
      <c r="P215" s="46"/>
    </row>
    <row r="216" spans="1:16" ht="18.75" hidden="1" x14ac:dyDescent="0.25">
      <c r="A216" s="227"/>
      <c r="B216" s="228"/>
      <c r="C216" s="228"/>
      <c r="D216" s="254" t="s">
        <v>89</v>
      </c>
      <c r="E216" s="41"/>
      <c r="F216" s="41"/>
      <c r="G216" s="43"/>
      <c r="H216" s="143" t="s">
        <v>12</v>
      </c>
      <c r="I216" s="45"/>
      <c r="J216" s="45"/>
      <c r="K216" s="46"/>
      <c r="L216" s="47">
        <f ca="1">IFERROR(__xludf.DUMMYFUNCTION("IMPORTRANGE(""https://docs.google.com/spreadsheets/d/1eHaY18a8A9IcSdp1K8H6x8fbOy06t2VsZHhMHf-1x7Y/edit?usp=sharing"",""แผน!AN30"")"),0)</f>
        <v>0</v>
      </c>
      <c r="M216" s="46"/>
      <c r="N216" s="248">
        <v>0</v>
      </c>
      <c r="O216" s="145"/>
      <c r="P216" s="46"/>
    </row>
    <row r="217" spans="1:16" ht="18.75" hidden="1" x14ac:dyDescent="0.25">
      <c r="A217" s="227"/>
      <c r="B217" s="228"/>
      <c r="C217" s="228"/>
      <c r="D217" s="254" t="s">
        <v>82</v>
      </c>
      <c r="E217" s="41"/>
      <c r="F217" s="41"/>
      <c r="G217" s="43"/>
      <c r="H217" s="143" t="s">
        <v>12</v>
      </c>
      <c r="I217" s="45"/>
      <c r="J217" s="45"/>
      <c r="K217" s="46"/>
      <c r="L217" s="47">
        <f ca="1">IFERROR(__xludf.DUMMYFUNCTION("IMPORTRANGE(""https://docs.google.com/spreadsheets/d/1eHaY18a8A9IcSdp1K8H6x8fbOy06t2VsZHhMHf-1x7Y/edit?usp=sharing"",""แผน!AO30"")"),0)</f>
        <v>0</v>
      </c>
      <c r="M217" s="46"/>
      <c r="N217" s="248">
        <v>0</v>
      </c>
      <c r="O217" s="145"/>
      <c r="P217" s="46"/>
    </row>
    <row r="218" spans="1:16" ht="19.5" hidden="1" x14ac:dyDescent="0.3">
      <c r="A218" s="148"/>
      <c r="B218" s="149"/>
      <c r="C218" s="252" t="s">
        <v>16</v>
      </c>
      <c r="D218" s="395" t="s">
        <v>36</v>
      </c>
      <c r="E218" s="151"/>
      <c r="F218" s="151"/>
      <c r="G218" s="152"/>
      <c r="H218" s="153"/>
      <c r="I218" s="144"/>
      <c r="J218" s="45"/>
      <c r="K218" s="46"/>
      <c r="L218" s="46"/>
      <c r="M218" s="46"/>
      <c r="N218" s="46"/>
      <c r="O218" s="145"/>
      <c r="P218" s="145"/>
    </row>
    <row r="219" spans="1:16" ht="18.75" hidden="1" x14ac:dyDescent="0.25">
      <c r="A219" s="148"/>
      <c r="B219" s="149"/>
      <c r="C219" s="149"/>
      <c r="D219" s="154" t="s">
        <v>90</v>
      </c>
      <c r="E219" s="155"/>
      <c r="F219" s="155"/>
      <c r="G219" s="153"/>
      <c r="H219" s="249" t="s">
        <v>79</v>
      </c>
      <c r="I219" s="169">
        <f ca="1">IFERROR(__xludf.DUMMYFUNCTION("IMPORTRANGE(""https://docs.google.com/spreadsheets/d/1eHaY18a8A9IcSdp1K8H6x8fbOy06t2VsZHhMHf-1x7Y/edit?usp=sharing"",""แผน!AP30"")"),0)</f>
        <v>0</v>
      </c>
      <c r="J219" s="250">
        <v>0</v>
      </c>
      <c r="K219" s="47">
        <f ca="1">IF(I219&gt;0,J219*100/I219,0)</f>
        <v>0</v>
      </c>
      <c r="L219" s="46"/>
      <c r="M219" s="46"/>
      <c r="N219" s="46"/>
      <c r="O219" s="46"/>
      <c r="P219" s="46"/>
    </row>
    <row r="220" spans="1:16" ht="18.75" hidden="1" x14ac:dyDescent="0.25">
      <c r="A220" s="148"/>
      <c r="B220" s="149"/>
      <c r="C220" s="149"/>
      <c r="D220" s="154" t="s">
        <v>91</v>
      </c>
      <c r="E220" s="155"/>
      <c r="F220" s="155"/>
      <c r="G220" s="153"/>
      <c r="H220" s="249" t="s">
        <v>79</v>
      </c>
      <c r="I220" s="169">
        <f ca="1">IFERROR(__xludf.DUMMYFUNCTION("IMPORTRANGE(""https://docs.google.com/spreadsheets/d/1eHaY18a8A9IcSdp1K8H6x8fbOy06t2VsZHhMHf-1x7Y/edit?usp=sharing"",""แผน!AP30"")"),0)</f>
        <v>0</v>
      </c>
      <c r="J220" s="250">
        <v>0</v>
      </c>
      <c r="K220" s="47">
        <f ca="1">IF(I220&gt;0,J220*100/I220,0)</f>
        <v>0</v>
      </c>
      <c r="L220" s="46"/>
      <c r="M220" s="46"/>
      <c r="N220" s="46"/>
      <c r="O220" s="46"/>
      <c r="P220" s="46"/>
    </row>
    <row r="221" spans="1:16" ht="19.5" x14ac:dyDescent="0.3">
      <c r="A221" s="233"/>
      <c r="B221" s="234"/>
      <c r="C221" s="235" t="s">
        <v>92</v>
      </c>
      <c r="D221" s="236"/>
      <c r="E221" s="236"/>
      <c r="F221" s="236"/>
      <c r="G221" s="237"/>
      <c r="H221" s="238" t="s">
        <v>93</v>
      </c>
      <c r="I221" s="239">
        <f ca="1">I229</f>
        <v>50000</v>
      </c>
      <c r="J221" s="239">
        <f>J229</f>
        <v>0</v>
      </c>
      <c r="K221" s="240">
        <f ca="1">IF(I221&gt;0,J221*100/I221,0)</f>
        <v>0</v>
      </c>
      <c r="L221" s="241"/>
      <c r="M221" s="241"/>
      <c r="N221" s="241"/>
      <c r="O221" s="241"/>
      <c r="P221" s="241"/>
    </row>
    <row r="222" spans="1:16" ht="19.5" x14ac:dyDescent="0.3">
      <c r="A222" s="136"/>
      <c r="B222" s="41"/>
      <c r="C222" s="197" t="s">
        <v>16</v>
      </c>
      <c r="D222" s="400" t="s">
        <v>17</v>
      </c>
      <c r="E222" s="41"/>
      <c r="F222" s="41"/>
      <c r="G222" s="43"/>
      <c r="H222" s="243" t="s">
        <v>12</v>
      </c>
      <c r="I222" s="144"/>
      <c r="J222" s="144"/>
      <c r="K222" s="145"/>
      <c r="L222" s="140">
        <f ca="1">L223+L224+L225</f>
        <v>8500</v>
      </c>
      <c r="M222" s="46"/>
      <c r="N222" s="140">
        <f>N223+N224+N225</f>
        <v>0</v>
      </c>
      <c r="O222" s="140">
        <f ca="1">IF(L222&gt;0,N222*100/L222,0)</f>
        <v>0</v>
      </c>
      <c r="P222" s="140">
        <f>IF(M222&gt;0,N222*100/M222,0)</f>
        <v>0</v>
      </c>
    </row>
    <row r="223" spans="1:16" ht="18.75" x14ac:dyDescent="0.25">
      <c r="A223" s="136"/>
      <c r="B223" s="228"/>
      <c r="C223" s="41"/>
      <c r="D223" s="253" t="s">
        <v>94</v>
      </c>
      <c r="E223" s="41"/>
      <c r="F223" s="41"/>
      <c r="G223" s="43"/>
      <c r="H223" s="143" t="s">
        <v>12</v>
      </c>
      <c r="I223" s="144"/>
      <c r="J223" s="144"/>
      <c r="K223" s="145"/>
      <c r="L223" s="47">
        <f ca="1">IFERROR(__xludf.DUMMYFUNCTION("IMPORTRANGE(""https://docs.google.com/spreadsheets/d/1eHaY18a8A9IcSdp1K8H6x8fbOy06t2VsZHhMHf-1x7Y/edit?usp=sharing"",""แผน!AR30"")"),7000)</f>
        <v>7000</v>
      </c>
      <c r="M223" s="46"/>
      <c r="N223" s="248">
        <v>0</v>
      </c>
      <c r="O223" s="145"/>
      <c r="P223" s="46"/>
    </row>
    <row r="224" spans="1:16" ht="18.75" x14ac:dyDescent="0.25">
      <c r="A224" s="227"/>
      <c r="B224" s="228"/>
      <c r="C224" s="228"/>
      <c r="D224" s="254" t="s">
        <v>95</v>
      </c>
      <c r="E224" s="41"/>
      <c r="F224" s="41"/>
      <c r="G224" s="43"/>
      <c r="H224" s="143" t="s">
        <v>12</v>
      </c>
      <c r="I224" s="45"/>
      <c r="J224" s="45"/>
      <c r="K224" s="46"/>
      <c r="L224" s="47">
        <f ca="1">IFERROR(__xludf.DUMMYFUNCTION("IMPORTRANGE(""https://docs.google.com/spreadsheets/d/1eHaY18a8A9IcSdp1K8H6x8fbOy06t2VsZHhMHf-1x7Y/edit?usp=sharing"",""แผน!AS30"")"),1500)</f>
        <v>1500</v>
      </c>
      <c r="M224" s="46"/>
      <c r="N224" s="248">
        <v>0</v>
      </c>
      <c r="O224" s="145"/>
      <c r="P224" s="46"/>
    </row>
    <row r="225" spans="1:16" ht="18.75" x14ac:dyDescent="0.25">
      <c r="A225" s="227"/>
      <c r="B225" s="228"/>
      <c r="C225" s="228"/>
      <c r="D225" s="254" t="s">
        <v>82</v>
      </c>
      <c r="E225" s="41"/>
      <c r="F225" s="41"/>
      <c r="G225" s="43"/>
      <c r="H225" s="143" t="s">
        <v>12</v>
      </c>
      <c r="I225" s="45"/>
      <c r="J225" s="45"/>
      <c r="K225" s="46"/>
      <c r="L225" s="47">
        <f ca="1">IFERROR(__xludf.DUMMYFUNCTION("IMPORTRANGE(""https://docs.google.com/spreadsheets/d/1eHaY18a8A9IcSdp1K8H6x8fbOy06t2VsZHhMHf-1x7Y/edit?usp=sharing"",""แผน!AT30"")"),0)</f>
        <v>0</v>
      </c>
      <c r="M225" s="46"/>
      <c r="N225" s="248">
        <v>0</v>
      </c>
      <c r="O225" s="145"/>
      <c r="P225" s="46"/>
    </row>
    <row r="226" spans="1:16" ht="19.5" x14ac:dyDescent="0.3">
      <c r="A226" s="148"/>
      <c r="B226" s="149"/>
      <c r="C226" s="252" t="s">
        <v>16</v>
      </c>
      <c r="D226" s="395" t="s">
        <v>36</v>
      </c>
      <c r="E226" s="151"/>
      <c r="F226" s="151"/>
      <c r="G226" s="152"/>
      <c r="H226" s="153"/>
      <c r="I226" s="144"/>
      <c r="J226" s="144"/>
      <c r="K226" s="145"/>
      <c r="L226" s="145"/>
      <c r="M226" s="145"/>
      <c r="N226" s="145"/>
      <c r="O226" s="145"/>
      <c r="P226" s="145"/>
    </row>
    <row r="227" spans="1:16" ht="18.75" x14ac:dyDescent="0.25">
      <c r="A227" s="148"/>
      <c r="B227" s="149"/>
      <c r="C227" s="149"/>
      <c r="D227" s="254" t="s">
        <v>96</v>
      </c>
      <c r="E227" s="155"/>
      <c r="F227" s="155"/>
      <c r="G227" s="153"/>
      <c r="H227" s="153"/>
      <c r="I227" s="45"/>
      <c r="J227" s="45"/>
      <c r="K227" s="145"/>
      <c r="L227" s="145"/>
      <c r="M227" s="145"/>
      <c r="N227" s="145"/>
      <c r="O227" s="145"/>
      <c r="P227" s="145"/>
    </row>
    <row r="228" spans="1:16" ht="18.75" x14ac:dyDescent="0.25">
      <c r="A228" s="148"/>
      <c r="B228" s="149"/>
      <c r="C228" s="149"/>
      <c r="D228" s="149"/>
      <c r="E228" s="154" t="s">
        <v>97</v>
      </c>
      <c r="F228" s="155"/>
      <c r="G228" s="153"/>
      <c r="H228" s="251" t="s">
        <v>93</v>
      </c>
      <c r="I228" s="169">
        <f ca="1">IFERROR(__xludf.DUMMYFUNCTION("IMPORTRANGE(""https://docs.google.com/spreadsheets/d/1eHaY18a8A9IcSdp1K8H6x8fbOy06t2VsZHhMHf-1x7Y/edit?usp=sharing"",""แผน!AV30"")"),50000)</f>
        <v>50000</v>
      </c>
      <c r="J228" s="250">
        <v>0</v>
      </c>
      <c r="K228" s="163">
        <f ca="1">IF(I228&gt;0,J228*100/I228,0)</f>
        <v>0</v>
      </c>
      <c r="L228" s="145"/>
      <c r="M228" s="145"/>
      <c r="N228" s="145"/>
      <c r="O228" s="145"/>
      <c r="P228" s="145"/>
    </row>
    <row r="229" spans="1:16" ht="18.75" x14ac:dyDescent="0.25">
      <c r="A229" s="148"/>
      <c r="B229" s="149"/>
      <c r="C229" s="149"/>
      <c r="D229" s="149"/>
      <c r="E229" s="154" t="s">
        <v>98</v>
      </c>
      <c r="F229" s="155"/>
      <c r="G229" s="153"/>
      <c r="H229" s="251" t="s">
        <v>93</v>
      </c>
      <c r="I229" s="169">
        <f ca="1">IFERROR(__xludf.DUMMYFUNCTION("IMPORTRANGE(""https://docs.google.com/spreadsheets/d/1eHaY18a8A9IcSdp1K8H6x8fbOy06t2VsZHhMHf-1x7Y/edit?usp=sharing"",""แผน!AV30"")"),50000)</f>
        <v>50000</v>
      </c>
      <c r="J229" s="250">
        <v>0</v>
      </c>
      <c r="K229" s="163">
        <f ca="1">IF(I229&gt;0,J229*100/I229,0)</f>
        <v>0</v>
      </c>
      <c r="L229" s="46"/>
      <c r="M229" s="46"/>
      <c r="N229" s="46"/>
      <c r="O229" s="46"/>
      <c r="P229" s="46"/>
    </row>
    <row r="230" spans="1:16" ht="18.75" x14ac:dyDescent="0.25">
      <c r="A230" s="148"/>
      <c r="B230" s="149"/>
      <c r="C230" s="149"/>
      <c r="D230" s="254" t="s">
        <v>99</v>
      </c>
      <c r="E230" s="155"/>
      <c r="F230" s="155"/>
      <c r="G230" s="153"/>
      <c r="H230" s="251" t="s">
        <v>33</v>
      </c>
      <c r="I230" s="169">
        <f ca="1">IFERROR(__xludf.DUMMYFUNCTION("IMPORTRANGE(""https://docs.google.com/spreadsheets/d/1eHaY18a8A9IcSdp1K8H6x8fbOy06t2VsZHhMHf-1x7Y/edit?usp=sharing"",""แผน!AU30"")"),0)</f>
        <v>0</v>
      </c>
      <c r="J230" s="250">
        <v>0</v>
      </c>
      <c r="K230" s="163">
        <f ca="1">IF(I230&gt;0,J230*100/I230,0)</f>
        <v>0</v>
      </c>
      <c r="L230" s="46"/>
      <c r="M230" s="46"/>
      <c r="N230" s="46"/>
      <c r="O230" s="46"/>
      <c r="P230" s="46"/>
    </row>
    <row r="231" spans="1:16" ht="19.5" hidden="1" x14ac:dyDescent="0.3">
      <c r="A231" s="233"/>
      <c r="B231" s="234"/>
      <c r="C231" s="235" t="s">
        <v>100</v>
      </c>
      <c r="D231" s="236"/>
      <c r="E231" s="236"/>
      <c r="F231" s="236"/>
      <c r="G231" s="237"/>
      <c r="H231" s="238" t="s">
        <v>33</v>
      </c>
      <c r="I231" s="239">
        <f ca="1">I242+I253</f>
        <v>0</v>
      </c>
      <c r="J231" s="239">
        <f>J242+J253</f>
        <v>0</v>
      </c>
      <c r="K231" s="240">
        <f ca="1">IF(I231&gt;0,J231*100/I231,0)</f>
        <v>0</v>
      </c>
      <c r="L231" s="241"/>
      <c r="M231" s="241"/>
      <c r="N231" s="241"/>
      <c r="O231" s="241"/>
      <c r="P231" s="241"/>
    </row>
    <row r="232" spans="1:16" ht="19.5" hidden="1" x14ac:dyDescent="0.3">
      <c r="A232" s="136"/>
      <c r="B232" s="41"/>
      <c r="C232" s="197" t="s">
        <v>16</v>
      </c>
      <c r="D232" s="397" t="s">
        <v>17</v>
      </c>
      <c r="E232" s="41"/>
      <c r="F232" s="41"/>
      <c r="G232" s="43"/>
      <c r="H232" s="243" t="s">
        <v>12</v>
      </c>
      <c r="I232" s="144"/>
      <c r="J232" s="144"/>
      <c r="K232" s="145"/>
      <c r="L232" s="140">
        <f ca="1">L243+L254</f>
        <v>0</v>
      </c>
      <c r="M232" s="46"/>
      <c r="N232" s="140">
        <f>N243+N254</f>
        <v>0</v>
      </c>
      <c r="O232" s="46"/>
      <c r="P232" s="46"/>
    </row>
    <row r="233" spans="1:16" ht="18.75" hidden="1" x14ac:dyDescent="0.25">
      <c r="A233" s="136"/>
      <c r="B233" s="228"/>
      <c r="C233" s="41"/>
      <c r="D233" s="254" t="s">
        <v>80</v>
      </c>
      <c r="E233" s="41"/>
      <c r="F233" s="41"/>
      <c r="G233" s="43"/>
      <c r="H233" s="143" t="s">
        <v>12</v>
      </c>
      <c r="I233" s="144"/>
      <c r="J233" s="144"/>
      <c r="K233" s="145"/>
      <c r="L233" s="47">
        <f ca="1">L244+L255</f>
        <v>0</v>
      </c>
      <c r="M233" s="46"/>
      <c r="N233" s="47">
        <f>N244+N255</f>
        <v>0</v>
      </c>
      <c r="O233" s="46"/>
      <c r="P233" s="46"/>
    </row>
    <row r="234" spans="1:16" ht="18.75" hidden="1" x14ac:dyDescent="0.25">
      <c r="A234" s="227"/>
      <c r="B234" s="228"/>
      <c r="C234" s="228"/>
      <c r="D234" s="254" t="s">
        <v>82</v>
      </c>
      <c r="E234" s="41"/>
      <c r="F234" s="41"/>
      <c r="G234" s="43"/>
      <c r="H234" s="143" t="s">
        <v>12</v>
      </c>
      <c r="I234" s="45"/>
      <c r="J234" s="45"/>
      <c r="K234" s="46"/>
      <c r="L234" s="47">
        <f ca="1">L245+L256</f>
        <v>0</v>
      </c>
      <c r="M234" s="46"/>
      <c r="N234" s="47">
        <f>N245+N256</f>
        <v>0</v>
      </c>
      <c r="O234" s="46"/>
      <c r="P234" s="46"/>
    </row>
    <row r="235" spans="1:16" ht="18.75" hidden="1" x14ac:dyDescent="0.25">
      <c r="A235" s="227"/>
      <c r="B235" s="228"/>
      <c r="C235" s="228"/>
      <c r="D235" s="254" t="s">
        <v>101</v>
      </c>
      <c r="E235" s="41"/>
      <c r="F235" s="41"/>
      <c r="G235" s="43"/>
      <c r="H235" s="143" t="s">
        <v>12</v>
      </c>
      <c r="I235" s="45"/>
      <c r="J235" s="45"/>
      <c r="K235" s="46"/>
      <c r="L235" s="47">
        <f ca="1">L246+L257</f>
        <v>0</v>
      </c>
      <c r="M235" s="46"/>
      <c r="N235" s="47">
        <f>N246+N257</f>
        <v>0</v>
      </c>
      <c r="O235" s="46"/>
      <c r="P235" s="46"/>
    </row>
    <row r="236" spans="1:16" ht="18.75" hidden="1" x14ac:dyDescent="0.25">
      <c r="A236" s="227"/>
      <c r="B236" s="228"/>
      <c r="C236" s="228"/>
      <c r="D236" s="254" t="s">
        <v>102</v>
      </c>
      <c r="E236" s="41"/>
      <c r="F236" s="41"/>
      <c r="G236" s="43"/>
      <c r="H236" s="143" t="s">
        <v>12</v>
      </c>
      <c r="I236" s="45"/>
      <c r="J236" s="45"/>
      <c r="K236" s="46"/>
      <c r="L236" s="47">
        <f ca="1">L247+L258</f>
        <v>0</v>
      </c>
      <c r="M236" s="46"/>
      <c r="N236" s="47">
        <f>N247+N258</f>
        <v>0</v>
      </c>
      <c r="O236" s="46"/>
      <c r="P236" s="46"/>
    </row>
    <row r="237" spans="1:16" ht="19.5" hidden="1" x14ac:dyDescent="0.3">
      <c r="A237" s="148"/>
      <c r="B237" s="149"/>
      <c r="C237" s="252" t="s">
        <v>16</v>
      </c>
      <c r="D237" s="395" t="s">
        <v>36</v>
      </c>
      <c r="E237" s="151"/>
      <c r="F237" s="151"/>
      <c r="G237" s="152"/>
      <c r="H237" s="153"/>
      <c r="I237" s="144"/>
      <c r="J237" s="45"/>
      <c r="K237" s="46"/>
      <c r="L237" s="46"/>
      <c r="M237" s="46"/>
      <c r="N237" s="46"/>
      <c r="O237" s="145"/>
      <c r="P237" s="145"/>
    </row>
    <row r="238" spans="1:16" ht="18.75" hidden="1" x14ac:dyDescent="0.25">
      <c r="A238" s="148"/>
      <c r="B238" s="149"/>
      <c r="C238" s="149"/>
      <c r="D238" s="159" t="s">
        <v>103</v>
      </c>
      <c r="E238" s="155"/>
      <c r="F238" s="155"/>
      <c r="G238" s="153"/>
      <c r="H238" s="251" t="s">
        <v>33</v>
      </c>
      <c r="I238" s="169">
        <f ca="1">I249+I260</f>
        <v>0</v>
      </c>
      <c r="J238" s="169">
        <f>J249+J260</f>
        <v>0</v>
      </c>
      <c r="K238" s="47">
        <f ca="1">IF(I238&gt;0,J238*100/I238,0)</f>
        <v>0</v>
      </c>
      <c r="L238" s="46"/>
      <c r="M238" s="46"/>
      <c r="N238" s="46"/>
      <c r="O238" s="46"/>
      <c r="P238" s="46"/>
    </row>
    <row r="239" spans="1:16" ht="18.75" hidden="1" x14ac:dyDescent="0.25">
      <c r="A239" s="148"/>
      <c r="B239" s="149"/>
      <c r="C239" s="149"/>
      <c r="D239" s="255" t="s">
        <v>41</v>
      </c>
      <c r="E239" s="155"/>
      <c r="F239" s="155"/>
      <c r="G239" s="153"/>
      <c r="H239" s="153"/>
      <c r="I239" s="45"/>
      <c r="J239" s="45"/>
      <c r="K239" s="46"/>
      <c r="L239" s="46"/>
      <c r="M239" s="46"/>
      <c r="N239" s="46"/>
      <c r="O239" s="145"/>
      <c r="P239" s="145"/>
    </row>
    <row r="240" spans="1:16" ht="18.75" hidden="1" x14ac:dyDescent="0.25">
      <c r="A240" s="148"/>
      <c r="B240" s="149"/>
      <c r="C240" s="149"/>
      <c r="D240" s="149"/>
      <c r="E240" s="154" t="s">
        <v>104</v>
      </c>
      <c r="F240" s="155"/>
      <c r="G240" s="153"/>
      <c r="H240" s="251" t="s">
        <v>33</v>
      </c>
      <c r="I240" s="169">
        <f>I251+I262</f>
        <v>0</v>
      </c>
      <c r="J240" s="169">
        <f>J251+J262</f>
        <v>0</v>
      </c>
      <c r="K240" s="47">
        <f>IF(I240&gt;0,J240*100/I240,0)</f>
        <v>0</v>
      </c>
      <c r="L240" s="46"/>
      <c r="M240" s="46"/>
      <c r="N240" s="46"/>
      <c r="O240" s="46"/>
      <c r="P240" s="46"/>
    </row>
    <row r="241" spans="1:16" ht="18.75" hidden="1" x14ac:dyDescent="0.25">
      <c r="A241" s="148"/>
      <c r="B241" s="149"/>
      <c r="C241" s="149"/>
      <c r="D241" s="149"/>
      <c r="E241" s="154" t="s">
        <v>105</v>
      </c>
      <c r="F241" s="155"/>
      <c r="G241" s="153"/>
      <c r="H241" s="251" t="s">
        <v>54</v>
      </c>
      <c r="I241" s="169">
        <f>I252+I263</f>
        <v>0</v>
      </c>
      <c r="J241" s="169">
        <f>J252+J263</f>
        <v>0</v>
      </c>
      <c r="K241" s="47">
        <f>IF(I241&gt;0,J241*100/I241,0)</f>
        <v>0</v>
      </c>
      <c r="L241" s="46"/>
      <c r="M241" s="46"/>
      <c r="N241" s="46"/>
      <c r="O241" s="46"/>
      <c r="P241" s="46"/>
    </row>
    <row r="242" spans="1:16" ht="19.5" hidden="1" x14ac:dyDescent="0.3">
      <c r="A242" s="233"/>
      <c r="B242" s="234"/>
      <c r="C242" s="256" t="s">
        <v>106</v>
      </c>
      <c r="D242" s="236"/>
      <c r="E242" s="236"/>
      <c r="F242" s="236"/>
      <c r="G242" s="237"/>
      <c r="H242" s="257" t="s">
        <v>33</v>
      </c>
      <c r="I242" s="258">
        <f ca="1">I249</f>
        <v>0</v>
      </c>
      <c r="J242" s="258">
        <f>J249</f>
        <v>0</v>
      </c>
      <c r="K242" s="259">
        <f ca="1">IF(I242&gt;0,J242*100/I242,0)</f>
        <v>0</v>
      </c>
      <c r="L242" s="241"/>
      <c r="M242" s="241"/>
      <c r="N242" s="241"/>
      <c r="O242" s="241"/>
      <c r="P242" s="241"/>
    </row>
    <row r="243" spans="1:16" ht="19.5" hidden="1" x14ac:dyDescent="0.3">
      <c r="A243" s="136"/>
      <c r="B243" s="41"/>
      <c r="C243" s="260" t="s">
        <v>16</v>
      </c>
      <c r="D243" s="261" t="s">
        <v>17</v>
      </c>
      <c r="E243" s="41"/>
      <c r="F243" s="41"/>
      <c r="G243" s="43"/>
      <c r="H243" s="262" t="s">
        <v>12</v>
      </c>
      <c r="I243" s="144"/>
      <c r="J243" s="144"/>
      <c r="K243" s="145"/>
      <c r="L243" s="263">
        <f ca="1">L244+L245+L246+L247</f>
        <v>0</v>
      </c>
      <c r="M243" s="46"/>
      <c r="N243" s="263">
        <f>N244+N245+N246+N247</f>
        <v>0</v>
      </c>
      <c r="O243" s="263">
        <f ca="1">IF(L243&gt;0,N243*100/L243,0)</f>
        <v>0</v>
      </c>
      <c r="P243" s="263">
        <f>IF(M243&gt;0,N243*100/M243,0)</f>
        <v>0</v>
      </c>
    </row>
    <row r="244" spans="1:16" ht="18.75" hidden="1" x14ac:dyDescent="0.25">
      <c r="A244" s="136"/>
      <c r="B244" s="228"/>
      <c r="C244" s="41"/>
      <c r="D244" s="279" t="s">
        <v>80</v>
      </c>
      <c r="E244" s="41"/>
      <c r="F244" s="41"/>
      <c r="G244" s="43"/>
      <c r="H244" s="146" t="s">
        <v>12</v>
      </c>
      <c r="I244" s="144"/>
      <c r="J244" s="144"/>
      <c r="K244" s="145"/>
      <c r="L244" s="50">
        <f ca="1">IFERROR(__xludf.DUMMYFUNCTION("IMPORTRANGE(""https://docs.google.com/spreadsheets/d/1eHaY18a8A9IcSdp1K8H6x8fbOy06t2VsZHhMHf-1x7Y/edit?usp=sharing"",""แผน!AX30"")"),0)</f>
        <v>0</v>
      </c>
      <c r="M244" s="46"/>
      <c r="N244" s="264">
        <v>0</v>
      </c>
      <c r="O244" s="46"/>
      <c r="P244" s="46"/>
    </row>
    <row r="245" spans="1:16" ht="18.75" hidden="1" x14ac:dyDescent="0.25">
      <c r="A245" s="227"/>
      <c r="B245" s="228"/>
      <c r="C245" s="228"/>
      <c r="D245" s="279" t="s">
        <v>82</v>
      </c>
      <c r="E245" s="41"/>
      <c r="F245" s="41"/>
      <c r="G245" s="43"/>
      <c r="H245" s="146" t="s">
        <v>12</v>
      </c>
      <c r="I245" s="45"/>
      <c r="J245" s="45"/>
      <c r="K245" s="46"/>
      <c r="L245" s="50">
        <f ca="1">IFERROR(__xludf.DUMMYFUNCTION("IMPORTRANGE(""https://docs.google.com/spreadsheets/d/1eHaY18a8A9IcSdp1K8H6x8fbOy06t2VsZHhMHf-1x7Y/edit?usp=sharing"",""แผน!AY30"")"),0)</f>
        <v>0</v>
      </c>
      <c r="M245" s="46"/>
      <c r="N245" s="264">
        <v>0</v>
      </c>
      <c r="O245" s="46"/>
      <c r="P245" s="46"/>
    </row>
    <row r="246" spans="1:16" ht="18.75" hidden="1" x14ac:dyDescent="0.25">
      <c r="A246" s="227"/>
      <c r="B246" s="228"/>
      <c r="C246" s="228"/>
      <c r="D246" s="279" t="s">
        <v>101</v>
      </c>
      <c r="E246" s="41"/>
      <c r="F246" s="41"/>
      <c r="G246" s="43"/>
      <c r="H246" s="146" t="s">
        <v>12</v>
      </c>
      <c r="I246" s="45"/>
      <c r="J246" s="45"/>
      <c r="K246" s="46"/>
      <c r="L246" s="50">
        <f ca="1">IFERROR(__xludf.DUMMYFUNCTION("IMPORTRANGE(""https://docs.google.com/spreadsheets/d/1eHaY18a8A9IcSdp1K8H6x8fbOy06t2VsZHhMHf-1x7Y/edit?usp=sharing"",""แผน!AZ30"")"),0)</f>
        <v>0</v>
      </c>
      <c r="M246" s="46"/>
      <c r="N246" s="264">
        <v>0</v>
      </c>
      <c r="O246" s="46"/>
      <c r="P246" s="46"/>
    </row>
    <row r="247" spans="1:16" ht="18.75" hidden="1" x14ac:dyDescent="0.25">
      <c r="A247" s="227"/>
      <c r="B247" s="228"/>
      <c r="C247" s="228"/>
      <c r="D247" s="279" t="s">
        <v>102</v>
      </c>
      <c r="E247" s="41"/>
      <c r="F247" s="41"/>
      <c r="G247" s="43"/>
      <c r="H247" s="146" t="s">
        <v>12</v>
      </c>
      <c r="I247" s="45"/>
      <c r="J247" s="45"/>
      <c r="K247" s="46"/>
      <c r="L247" s="50">
        <f ca="1">IFERROR(__xludf.DUMMYFUNCTION("IMPORTRANGE(""https://docs.google.com/spreadsheets/d/1eHaY18a8A9IcSdp1K8H6x8fbOy06t2VsZHhMHf-1x7Y/edit?usp=sharing"",""แผน!BA30"")"),0)</f>
        <v>0</v>
      </c>
      <c r="M247" s="46"/>
      <c r="N247" s="264">
        <v>0</v>
      </c>
      <c r="O247" s="46"/>
      <c r="P247" s="46"/>
    </row>
    <row r="248" spans="1:16" ht="19.5" hidden="1" x14ac:dyDescent="0.3">
      <c r="A248" s="148"/>
      <c r="B248" s="149"/>
      <c r="C248" s="265" t="s">
        <v>16</v>
      </c>
      <c r="D248" s="394" t="s">
        <v>36</v>
      </c>
      <c r="E248" s="151"/>
      <c r="F248" s="151"/>
      <c r="G248" s="152"/>
      <c r="H248" s="153"/>
      <c r="I248" s="144"/>
      <c r="J248" s="45"/>
      <c r="K248" s="46"/>
      <c r="L248" s="46"/>
      <c r="M248" s="46"/>
      <c r="N248" s="46"/>
      <c r="O248" s="145"/>
      <c r="P248" s="145"/>
    </row>
    <row r="249" spans="1:16" ht="18.75" hidden="1" x14ac:dyDescent="0.25">
      <c r="A249" s="148"/>
      <c r="B249" s="149"/>
      <c r="C249" s="149"/>
      <c r="D249" s="267" t="s">
        <v>103</v>
      </c>
      <c r="E249" s="155"/>
      <c r="F249" s="155"/>
      <c r="G249" s="153"/>
      <c r="H249" s="268" t="s">
        <v>33</v>
      </c>
      <c r="I249" s="200">
        <f ca="1">IFERROR(__xludf.DUMMYFUNCTION("IMPORTRANGE(""https://docs.google.com/spreadsheets/d/1eHaY18a8A9IcSdp1K8H6x8fbOy06t2VsZHhMHf-1x7Y/edit?usp=sharing"",""แผน!BG30"")"),0)</f>
        <v>0</v>
      </c>
      <c r="J249" s="201">
        <v>0</v>
      </c>
      <c r="K249" s="50">
        <f ca="1">IF(I249&gt;0,J249*100/I249,0)</f>
        <v>0</v>
      </c>
      <c r="L249" s="46"/>
      <c r="M249" s="46"/>
      <c r="N249" s="46"/>
      <c r="O249" s="46"/>
      <c r="P249" s="46"/>
    </row>
    <row r="250" spans="1:16" ht="18.75" hidden="1" x14ac:dyDescent="0.25">
      <c r="A250" s="148"/>
      <c r="B250" s="149"/>
      <c r="C250" s="149"/>
      <c r="D250" s="269" t="s">
        <v>41</v>
      </c>
      <c r="E250" s="155"/>
      <c r="F250" s="155"/>
      <c r="G250" s="153"/>
      <c r="H250" s="153"/>
      <c r="I250" s="45"/>
      <c r="J250" s="45"/>
      <c r="K250" s="46"/>
      <c r="L250" s="46"/>
      <c r="M250" s="46"/>
      <c r="N250" s="46"/>
      <c r="O250" s="145"/>
      <c r="P250" s="145"/>
    </row>
    <row r="251" spans="1:16" ht="18.75" hidden="1" x14ac:dyDescent="0.25">
      <c r="A251" s="148"/>
      <c r="B251" s="149"/>
      <c r="C251" s="149"/>
      <c r="D251" s="149"/>
      <c r="E251" s="270" t="s">
        <v>104</v>
      </c>
      <c r="F251" s="155"/>
      <c r="G251" s="153"/>
      <c r="H251" s="268" t="s">
        <v>33</v>
      </c>
      <c r="I251" s="200">
        <v>0</v>
      </c>
      <c r="J251" s="201">
        <v>0</v>
      </c>
      <c r="K251" s="50">
        <f>IF(I251&gt;0,J251*100/I251,0)</f>
        <v>0</v>
      </c>
      <c r="L251" s="46"/>
      <c r="M251" s="46"/>
      <c r="N251" s="46"/>
      <c r="O251" s="46"/>
      <c r="P251" s="46"/>
    </row>
    <row r="252" spans="1:16" ht="18.75" hidden="1" x14ac:dyDescent="0.25">
      <c r="A252" s="148"/>
      <c r="B252" s="149"/>
      <c r="C252" s="149"/>
      <c r="D252" s="149"/>
      <c r="E252" s="270" t="s">
        <v>105</v>
      </c>
      <c r="F252" s="155"/>
      <c r="G252" s="153"/>
      <c r="H252" s="268" t="s">
        <v>54</v>
      </c>
      <c r="I252" s="200">
        <v>0</v>
      </c>
      <c r="J252" s="201">
        <v>0</v>
      </c>
      <c r="K252" s="50">
        <f>IF(I252&gt;0,J252*100/I252,0)</f>
        <v>0</v>
      </c>
      <c r="L252" s="46"/>
      <c r="M252" s="46"/>
      <c r="N252" s="46"/>
      <c r="O252" s="46"/>
      <c r="P252" s="46"/>
    </row>
    <row r="253" spans="1:16" ht="19.5" hidden="1" x14ac:dyDescent="0.3">
      <c r="A253" s="233"/>
      <c r="B253" s="234"/>
      <c r="C253" s="256" t="s">
        <v>107</v>
      </c>
      <c r="D253" s="236"/>
      <c r="E253" s="236"/>
      <c r="F253" s="236"/>
      <c r="G253" s="237"/>
      <c r="H253" s="257" t="s">
        <v>33</v>
      </c>
      <c r="I253" s="258">
        <f ca="1">I260</f>
        <v>0</v>
      </c>
      <c r="J253" s="258">
        <f>J260</f>
        <v>0</v>
      </c>
      <c r="K253" s="259">
        <f ca="1">IF(I253&gt;0,J253*100/I253,0)</f>
        <v>0</v>
      </c>
      <c r="L253" s="241"/>
      <c r="M253" s="241"/>
      <c r="N253" s="241"/>
      <c r="O253" s="241"/>
      <c r="P253" s="241"/>
    </row>
    <row r="254" spans="1:16" ht="19.5" hidden="1" x14ac:dyDescent="0.3">
      <c r="A254" s="136"/>
      <c r="B254" s="41"/>
      <c r="C254" s="260" t="s">
        <v>16</v>
      </c>
      <c r="D254" s="399" t="s">
        <v>17</v>
      </c>
      <c r="E254" s="41"/>
      <c r="F254" s="41"/>
      <c r="G254" s="43"/>
      <c r="H254" s="262" t="s">
        <v>12</v>
      </c>
      <c r="I254" s="144"/>
      <c r="J254" s="144"/>
      <c r="K254" s="145"/>
      <c r="L254" s="263">
        <f ca="1">L255+L256+L257+L258</f>
        <v>0</v>
      </c>
      <c r="M254" s="46"/>
      <c r="N254" s="263">
        <f>N255+N256+N257+N258</f>
        <v>0</v>
      </c>
      <c r="O254" s="263">
        <f ca="1">IF(L254&gt;0,N254*100/L254,0)</f>
        <v>0</v>
      </c>
      <c r="P254" s="263">
        <f>IF(M254&gt;0,N254*100/M254,0)</f>
        <v>0</v>
      </c>
    </row>
    <row r="255" spans="1:16" ht="18.75" hidden="1" x14ac:dyDescent="0.25">
      <c r="A255" s="136"/>
      <c r="B255" s="228"/>
      <c r="C255" s="41"/>
      <c r="D255" s="279" t="s">
        <v>80</v>
      </c>
      <c r="E255" s="41"/>
      <c r="F255" s="41"/>
      <c r="G255" s="43"/>
      <c r="H255" s="146" t="s">
        <v>12</v>
      </c>
      <c r="I255" s="144"/>
      <c r="J255" s="144"/>
      <c r="K255" s="145"/>
      <c r="L255" s="50">
        <f ca="1">IFERROR(__xludf.DUMMYFUNCTION("IMPORTRANGE(""https://docs.google.com/spreadsheets/d/1eHaY18a8A9IcSdp1K8H6x8fbOy06t2VsZHhMHf-1x7Y/edit?usp=sharing"",""แผน!BB30"")"),0)</f>
        <v>0</v>
      </c>
      <c r="M255" s="46"/>
      <c r="N255" s="264">
        <v>0</v>
      </c>
      <c r="O255" s="46"/>
      <c r="P255" s="46"/>
    </row>
    <row r="256" spans="1:16" ht="18.75" hidden="1" x14ac:dyDescent="0.25">
      <c r="A256" s="227"/>
      <c r="B256" s="228"/>
      <c r="C256" s="228"/>
      <c r="D256" s="279" t="s">
        <v>82</v>
      </c>
      <c r="E256" s="41"/>
      <c r="F256" s="41"/>
      <c r="G256" s="43"/>
      <c r="H256" s="146" t="s">
        <v>12</v>
      </c>
      <c r="I256" s="45"/>
      <c r="J256" s="45"/>
      <c r="K256" s="46"/>
      <c r="L256" s="50">
        <f ca="1">IFERROR(__xludf.DUMMYFUNCTION("IMPORTRANGE(""https://docs.google.com/spreadsheets/d/1eHaY18a8A9IcSdp1K8H6x8fbOy06t2VsZHhMHf-1x7Y/edit?usp=sharing"",""แผน!BC30"")"),0)</f>
        <v>0</v>
      </c>
      <c r="M256" s="46"/>
      <c r="N256" s="264">
        <v>0</v>
      </c>
      <c r="O256" s="46"/>
      <c r="P256" s="46"/>
    </row>
    <row r="257" spans="1:16" ht="18.75" hidden="1" x14ac:dyDescent="0.25">
      <c r="A257" s="227"/>
      <c r="B257" s="228"/>
      <c r="C257" s="228"/>
      <c r="D257" s="279" t="s">
        <v>101</v>
      </c>
      <c r="E257" s="41"/>
      <c r="F257" s="41"/>
      <c r="G257" s="43"/>
      <c r="H257" s="146" t="s">
        <v>12</v>
      </c>
      <c r="I257" s="45"/>
      <c r="J257" s="45"/>
      <c r="K257" s="46"/>
      <c r="L257" s="50">
        <f ca="1">IFERROR(__xludf.DUMMYFUNCTION("IMPORTRANGE(""https://docs.google.com/spreadsheets/d/1eHaY18a8A9IcSdp1K8H6x8fbOy06t2VsZHhMHf-1x7Y/edit?usp=sharing"",""แผน!BD30"")"),0)</f>
        <v>0</v>
      </c>
      <c r="M257" s="46"/>
      <c r="N257" s="264">
        <v>0</v>
      </c>
      <c r="O257" s="46"/>
      <c r="P257" s="46"/>
    </row>
    <row r="258" spans="1:16" ht="18.75" hidden="1" x14ac:dyDescent="0.25">
      <c r="A258" s="227"/>
      <c r="B258" s="228"/>
      <c r="C258" s="228"/>
      <c r="D258" s="279" t="s">
        <v>102</v>
      </c>
      <c r="E258" s="41"/>
      <c r="F258" s="41"/>
      <c r="G258" s="43"/>
      <c r="H258" s="146" t="s">
        <v>12</v>
      </c>
      <c r="I258" s="45"/>
      <c r="J258" s="45"/>
      <c r="K258" s="46"/>
      <c r="L258" s="50">
        <f ca="1">IFERROR(__xludf.DUMMYFUNCTION("IMPORTRANGE(""https://docs.google.com/spreadsheets/d/1eHaY18a8A9IcSdp1K8H6x8fbOy06t2VsZHhMHf-1x7Y/edit?usp=sharing"",""แผน!BE30"")"),0)</f>
        <v>0</v>
      </c>
      <c r="M258" s="46"/>
      <c r="N258" s="264">
        <v>0</v>
      </c>
      <c r="O258" s="46"/>
      <c r="P258" s="46"/>
    </row>
    <row r="259" spans="1:16" ht="19.5" hidden="1" x14ac:dyDescent="0.3">
      <c r="A259" s="148"/>
      <c r="B259" s="149"/>
      <c r="C259" s="265" t="s">
        <v>16</v>
      </c>
      <c r="D259" s="394" t="s">
        <v>36</v>
      </c>
      <c r="E259" s="151"/>
      <c r="F259" s="151"/>
      <c r="G259" s="152"/>
      <c r="H259" s="153"/>
      <c r="I259" s="144"/>
      <c r="J259" s="45"/>
      <c r="K259" s="46"/>
      <c r="L259" s="46"/>
      <c r="M259" s="46"/>
      <c r="N259" s="46"/>
      <c r="O259" s="145"/>
      <c r="P259" s="145"/>
    </row>
    <row r="260" spans="1:16" ht="18.75" hidden="1" x14ac:dyDescent="0.25">
      <c r="A260" s="148"/>
      <c r="B260" s="149"/>
      <c r="C260" s="149"/>
      <c r="D260" s="267" t="s">
        <v>103</v>
      </c>
      <c r="E260" s="155"/>
      <c r="F260" s="155"/>
      <c r="G260" s="153"/>
      <c r="H260" s="268" t="s">
        <v>33</v>
      </c>
      <c r="I260" s="200">
        <f ca="1">IFERROR(__xludf.DUMMYFUNCTION("IMPORTRANGE(""https://docs.google.com/spreadsheets/d/1eHaY18a8A9IcSdp1K8H6x8fbOy06t2VsZHhMHf-1x7Y/edit?usp=sharing"",""แผน!BH30"")"),0)</f>
        <v>0</v>
      </c>
      <c r="J260" s="201">
        <v>0</v>
      </c>
      <c r="K260" s="50">
        <f ca="1">IF(I260&gt;0,J260*100/I260,0)</f>
        <v>0</v>
      </c>
      <c r="L260" s="46"/>
      <c r="M260" s="46"/>
      <c r="N260" s="46"/>
      <c r="O260" s="46"/>
      <c r="P260" s="46"/>
    </row>
    <row r="261" spans="1:16" ht="18.75" hidden="1" x14ac:dyDescent="0.25">
      <c r="A261" s="148"/>
      <c r="B261" s="149"/>
      <c r="C261" s="149"/>
      <c r="D261" s="269" t="s">
        <v>41</v>
      </c>
      <c r="E261" s="155"/>
      <c r="F261" s="155"/>
      <c r="G261" s="153"/>
      <c r="H261" s="153"/>
      <c r="I261" s="45"/>
      <c r="J261" s="45"/>
      <c r="K261" s="46"/>
      <c r="L261" s="46"/>
      <c r="M261" s="46"/>
      <c r="N261" s="46"/>
      <c r="O261" s="145"/>
      <c r="P261" s="145"/>
    </row>
    <row r="262" spans="1:16" ht="18.75" hidden="1" x14ac:dyDescent="0.25">
      <c r="A262" s="148"/>
      <c r="B262" s="149"/>
      <c r="C262" s="149"/>
      <c r="D262" s="149"/>
      <c r="E262" s="270" t="s">
        <v>104</v>
      </c>
      <c r="F262" s="155"/>
      <c r="G262" s="153"/>
      <c r="H262" s="268" t="s">
        <v>33</v>
      </c>
      <c r="I262" s="45"/>
      <c r="J262" s="201">
        <v>0</v>
      </c>
      <c r="K262" s="50">
        <f>IF(I262&gt;0,J262*100/I262,0)</f>
        <v>0</v>
      </c>
      <c r="L262" s="46"/>
      <c r="M262" s="46"/>
      <c r="N262" s="46"/>
      <c r="O262" s="46"/>
      <c r="P262" s="46"/>
    </row>
    <row r="263" spans="1:16" ht="18.75" hidden="1" x14ac:dyDescent="0.25">
      <c r="A263" s="148"/>
      <c r="B263" s="149"/>
      <c r="C263" s="149"/>
      <c r="D263" s="149"/>
      <c r="E263" s="270" t="s">
        <v>105</v>
      </c>
      <c r="F263" s="155"/>
      <c r="G263" s="153"/>
      <c r="H263" s="268" t="s">
        <v>54</v>
      </c>
      <c r="I263" s="45"/>
      <c r="J263" s="201">
        <v>0</v>
      </c>
      <c r="K263" s="50">
        <f>IF(I263&gt;0,J263*100/I263,0)</f>
        <v>0</v>
      </c>
      <c r="L263" s="46"/>
      <c r="M263" s="46"/>
      <c r="N263" s="46"/>
      <c r="O263" s="46"/>
      <c r="P263" s="46"/>
    </row>
    <row r="264" spans="1:16" ht="19.5" hidden="1" x14ac:dyDescent="0.3">
      <c r="A264" s="272" t="s">
        <v>108</v>
      </c>
      <c r="B264" s="215"/>
      <c r="C264" s="215"/>
      <c r="D264" s="216"/>
      <c r="E264" s="216"/>
      <c r="F264" s="216"/>
      <c r="G264" s="217"/>
      <c r="H264" s="217"/>
      <c r="I264" s="218"/>
      <c r="J264" s="218"/>
      <c r="K264" s="219"/>
      <c r="L264" s="219"/>
      <c r="M264" s="219"/>
      <c r="N264" s="219"/>
      <c r="O264" s="219"/>
      <c r="P264" s="219"/>
    </row>
    <row r="265" spans="1:16" ht="19.5" hidden="1" x14ac:dyDescent="0.3">
      <c r="A265" s="220"/>
      <c r="B265" s="273" t="s">
        <v>109</v>
      </c>
      <c r="C265" s="222"/>
      <c r="D265" s="151"/>
      <c r="E265" s="151"/>
      <c r="F265" s="151"/>
      <c r="G265" s="152"/>
      <c r="H265" s="274" t="s">
        <v>33</v>
      </c>
      <c r="I265" s="275">
        <f>I276</f>
        <v>0</v>
      </c>
      <c r="J265" s="275">
        <f>J276</f>
        <v>0</v>
      </c>
      <c r="K265" s="276">
        <f>IF(I265&gt;0,J265*100/I265,0)</f>
        <v>0</v>
      </c>
      <c r="L265" s="226"/>
      <c r="M265" s="226"/>
      <c r="N265" s="226"/>
      <c r="O265" s="226"/>
      <c r="P265" s="226"/>
    </row>
    <row r="266" spans="1:16" ht="19.5" hidden="1" x14ac:dyDescent="0.3">
      <c r="A266" s="136"/>
      <c r="B266" s="41"/>
      <c r="C266" s="260" t="s">
        <v>16</v>
      </c>
      <c r="D266" s="261" t="s">
        <v>17</v>
      </c>
      <c r="E266" s="41"/>
      <c r="F266" s="41"/>
      <c r="G266" s="43"/>
      <c r="H266" s="277" t="s">
        <v>12</v>
      </c>
      <c r="I266" s="45"/>
      <c r="J266" s="45"/>
      <c r="K266" s="46"/>
      <c r="L266" s="263">
        <f ca="1">L267+L268</f>
        <v>0</v>
      </c>
      <c r="M266" s="263">
        <f ca="1">M267+M268</f>
        <v>0</v>
      </c>
      <c r="N266" s="263">
        <f ca="1">N267+N268</f>
        <v>0</v>
      </c>
      <c r="O266" s="263">
        <f ca="1">IF(L266&gt;0,N266*100/L266,0)</f>
        <v>0</v>
      </c>
      <c r="P266" s="263">
        <f ca="1">IF(M266&gt;0,N266*100/M266,0)</f>
        <v>0</v>
      </c>
    </row>
    <row r="267" spans="1:16" ht="18.75" hidden="1" x14ac:dyDescent="0.25">
      <c r="A267" s="136"/>
      <c r="B267" s="41"/>
      <c r="C267" s="41"/>
      <c r="D267" s="41"/>
      <c r="E267" s="279" t="s">
        <v>18</v>
      </c>
      <c r="F267" s="41"/>
      <c r="G267" s="43"/>
      <c r="H267" s="141" t="s">
        <v>12</v>
      </c>
      <c r="I267" s="45"/>
      <c r="J267" s="45"/>
      <c r="K267" s="46"/>
      <c r="L267" s="50">
        <f>L270+L273</f>
        <v>0</v>
      </c>
      <c r="M267" s="50">
        <f>M270+M273</f>
        <v>0</v>
      </c>
      <c r="N267" s="50">
        <f>N270+N273</f>
        <v>0</v>
      </c>
      <c r="O267" s="50">
        <f>IF(L267&gt;0,N267*100/L267,0)</f>
        <v>0</v>
      </c>
      <c r="P267" s="50">
        <f>IF(M267&gt;0,N267*100/M267,0)</f>
        <v>0</v>
      </c>
    </row>
    <row r="268" spans="1:16" ht="18.75" hidden="1" x14ac:dyDescent="0.25">
      <c r="A268" s="136"/>
      <c r="B268" s="41"/>
      <c r="C268" s="41"/>
      <c r="D268" s="41"/>
      <c r="E268" s="279" t="s">
        <v>19</v>
      </c>
      <c r="F268" s="41"/>
      <c r="G268" s="43"/>
      <c r="H268" s="141" t="s">
        <v>12</v>
      </c>
      <c r="I268" s="45"/>
      <c r="J268" s="45"/>
      <c r="K268" s="46"/>
      <c r="L268" s="50">
        <f ca="1">L271+L274</f>
        <v>0</v>
      </c>
      <c r="M268" s="50">
        <f ca="1">M271+M274</f>
        <v>0</v>
      </c>
      <c r="N268" s="50">
        <f ca="1">N271+N274</f>
        <v>0</v>
      </c>
      <c r="O268" s="50">
        <f ca="1">IF(L268&gt;0,N268*100/L268,0)</f>
        <v>0</v>
      </c>
      <c r="P268" s="50">
        <f ca="1">IF(M268&gt;0,N268*100/M268,0)</f>
        <v>0</v>
      </c>
    </row>
    <row r="269" spans="1:16" ht="18.75" hidden="1" x14ac:dyDescent="0.25">
      <c r="A269" s="136"/>
      <c r="B269" s="41"/>
      <c r="C269" s="41"/>
      <c r="D269" s="278" t="s">
        <v>20</v>
      </c>
      <c r="E269" s="41"/>
      <c r="F269" s="41"/>
      <c r="G269" s="43"/>
      <c r="H269" s="146" t="s">
        <v>12</v>
      </c>
      <c r="I269" s="144"/>
      <c r="J269" s="144"/>
      <c r="K269" s="145"/>
      <c r="L269" s="50">
        <f ca="1">L270+L271</f>
        <v>0</v>
      </c>
      <c r="M269" s="50">
        <f ca="1">M270+M271</f>
        <v>0</v>
      </c>
      <c r="N269" s="50">
        <f ca="1">N270+N271</f>
        <v>0</v>
      </c>
      <c r="O269" s="50">
        <f ca="1">IF(L269&gt;0,N269*100/L269,0)</f>
        <v>0</v>
      </c>
      <c r="P269" s="50">
        <f ca="1">IF(M269&gt;0,N269*100/M269,0)</f>
        <v>0</v>
      </c>
    </row>
    <row r="270" spans="1:16" ht="18.75" hidden="1" x14ac:dyDescent="0.25">
      <c r="A270" s="136"/>
      <c r="B270" s="41"/>
      <c r="C270" s="41"/>
      <c r="D270" s="41"/>
      <c r="E270" s="279" t="s">
        <v>34</v>
      </c>
      <c r="F270" s="41"/>
      <c r="G270" s="43"/>
      <c r="H270" s="146" t="s">
        <v>12</v>
      </c>
      <c r="I270" s="144"/>
      <c r="J270" s="144"/>
      <c r="K270" s="145"/>
      <c r="L270" s="50">
        <v>0</v>
      </c>
      <c r="M270" s="50">
        <v>0</v>
      </c>
      <c r="N270" s="50">
        <v>0</v>
      </c>
      <c r="O270" s="50">
        <f>IF(L270&gt;0,N270*100/L270,0)</f>
        <v>0</v>
      </c>
      <c r="P270" s="50">
        <f>IF(M270&gt;0,N270*100/M270,0)</f>
        <v>0</v>
      </c>
    </row>
    <row r="271" spans="1:16" ht="18.75" hidden="1" x14ac:dyDescent="0.25">
      <c r="A271" s="136"/>
      <c r="B271" s="41"/>
      <c r="C271" s="41"/>
      <c r="D271" s="41"/>
      <c r="E271" s="279" t="s">
        <v>35</v>
      </c>
      <c r="F271" s="41"/>
      <c r="G271" s="43"/>
      <c r="H271" s="146" t="s">
        <v>12</v>
      </c>
      <c r="I271" s="144"/>
      <c r="J271" s="144"/>
      <c r="K271" s="145"/>
      <c r="L271" s="50">
        <f ca="1">IFERROR(__xludf.DUMMYFUNCTION("IMPORTRANGE(""https://docs.google.com/spreadsheets/d/1-uDff_7J0KD5mKrp0Vvzr7lt3OU09vwQwhkpOPPYv2Y/edit?usp=sharing"",""งบพรบ!DE30"")"),0)</f>
        <v>0</v>
      </c>
      <c r="M271" s="50">
        <f ca="1">IFERROR(__xludf.DUMMYFUNCTION("IMPORTRANGE(""https://docs.google.com/spreadsheets/d/1-uDff_7J0KD5mKrp0Vvzr7lt3OU09vwQwhkpOPPYv2Y/edit?usp=sharing"",""งบพรบ!DJ30"")"),0)</f>
        <v>0</v>
      </c>
      <c r="N271" s="50">
        <f ca="1">IFERROR(__xludf.DUMMYFUNCTION("IMPORTRANGE(""https://docs.google.com/spreadsheets/d/1-uDff_7J0KD5mKrp0Vvzr7lt3OU09vwQwhkpOPPYv2Y/edit?usp=sharing"",""งบพรบ!DL30"")"),0)</f>
        <v>0</v>
      </c>
      <c r="O271" s="50">
        <f ca="1">IF(L271&gt;0,N271*100/L271,0)</f>
        <v>0</v>
      </c>
      <c r="P271" s="50">
        <f ca="1">IF(M271&gt;0,N271*100/M271,0)</f>
        <v>0</v>
      </c>
    </row>
    <row r="272" spans="1:16" ht="18.75" hidden="1" x14ac:dyDescent="0.25">
      <c r="A272" s="136"/>
      <c r="B272" s="41"/>
      <c r="C272" s="41"/>
      <c r="D272" s="278" t="s">
        <v>21</v>
      </c>
      <c r="E272" s="41"/>
      <c r="F272" s="41"/>
      <c r="G272" s="43"/>
      <c r="H272" s="199" t="s">
        <v>12</v>
      </c>
      <c r="I272" s="144"/>
      <c r="J272" s="144"/>
      <c r="K272" s="145"/>
      <c r="L272" s="50">
        <f ca="1">L273+L274</f>
        <v>0</v>
      </c>
      <c r="M272" s="50">
        <f ca="1">M273+M274</f>
        <v>0</v>
      </c>
      <c r="N272" s="50">
        <f ca="1">N273+N274</f>
        <v>0</v>
      </c>
      <c r="O272" s="50">
        <f ca="1">IF(L272&gt;0,N272*100/L272,0)</f>
        <v>0</v>
      </c>
      <c r="P272" s="50">
        <f ca="1">IF(M272&gt;0,N272*100/M272,0)</f>
        <v>0</v>
      </c>
    </row>
    <row r="273" spans="1:16" ht="18.75" hidden="1" x14ac:dyDescent="0.25">
      <c r="A273" s="136"/>
      <c r="B273" s="41"/>
      <c r="C273" s="41"/>
      <c r="D273" s="41"/>
      <c r="E273" s="279" t="s">
        <v>18</v>
      </c>
      <c r="F273" s="41"/>
      <c r="G273" s="43"/>
      <c r="H273" s="146" t="s">
        <v>12</v>
      </c>
      <c r="I273" s="144"/>
      <c r="J273" s="144"/>
      <c r="K273" s="145"/>
      <c r="L273" s="50">
        <v>0</v>
      </c>
      <c r="M273" s="50">
        <v>0</v>
      </c>
      <c r="N273" s="50">
        <v>0</v>
      </c>
      <c r="O273" s="50">
        <f>IF(L273&gt;0,N273*100/L273,0)</f>
        <v>0</v>
      </c>
      <c r="P273" s="50">
        <f>IF(M273&gt;0,N273*100/M273,0)</f>
        <v>0</v>
      </c>
    </row>
    <row r="274" spans="1:16" ht="18.75" hidden="1" x14ac:dyDescent="0.25">
      <c r="A274" s="136"/>
      <c r="B274" s="41"/>
      <c r="C274" s="41"/>
      <c r="D274" s="41"/>
      <c r="E274" s="279" t="s">
        <v>19</v>
      </c>
      <c r="F274" s="41"/>
      <c r="G274" s="43"/>
      <c r="H274" s="199" t="s">
        <v>12</v>
      </c>
      <c r="I274" s="144"/>
      <c r="J274" s="144"/>
      <c r="K274" s="145"/>
      <c r="L274" s="50">
        <f ca="1">IFERROR(__xludf.DUMMYFUNCTION("IMPORTRANGE(""https://docs.google.com/spreadsheets/d/1-uDff_7J0KD5mKrp0Vvzr7lt3OU09vwQwhkpOPPYv2Y/edit?usp=sharing"",""งบพรบ!DH30"")"),0)</f>
        <v>0</v>
      </c>
      <c r="M274" s="50">
        <f ca="1">IFERROR(__xludf.DUMMYFUNCTION("IMPORTRANGE(""https://docs.google.com/spreadsheets/d/1-uDff_7J0KD5mKrp0Vvzr7lt3OU09vwQwhkpOPPYv2Y/edit?usp=sharing"",""งบพรบ!DK30"")"),0)</f>
        <v>0</v>
      </c>
      <c r="N274" s="50">
        <f ca="1">IFERROR(__xludf.DUMMYFUNCTION("IMPORTRANGE(""https://docs.google.com/spreadsheets/d/1-uDff_7J0KD5mKrp0Vvzr7lt3OU09vwQwhkpOPPYv2Y/edit?usp=sharing"",""งบพรบ!DM30"")"),0)</f>
        <v>0</v>
      </c>
      <c r="O274" s="50">
        <f ca="1">IF(L274&gt;0,N274*100/L274,0)</f>
        <v>0</v>
      </c>
      <c r="P274" s="50">
        <f ca="1">IF(M274&gt;0,N274*100/M274,0)</f>
        <v>0</v>
      </c>
    </row>
    <row r="275" spans="1:16" ht="19.5" hidden="1" x14ac:dyDescent="0.3">
      <c r="A275" s="148"/>
      <c r="B275" s="149"/>
      <c r="C275" s="279" t="s">
        <v>16</v>
      </c>
      <c r="D275" s="394" t="s">
        <v>36</v>
      </c>
      <c r="E275" s="151"/>
      <c r="F275" s="151"/>
      <c r="G275" s="152"/>
      <c r="H275" s="153"/>
      <c r="I275" s="144"/>
      <c r="J275" s="144"/>
      <c r="K275" s="145"/>
      <c r="L275" s="145"/>
      <c r="M275" s="145"/>
      <c r="N275" s="145"/>
      <c r="O275" s="145"/>
      <c r="P275" s="145"/>
    </row>
    <row r="276" spans="1:16" ht="12.75" hidden="1" x14ac:dyDescent="0.2">
      <c r="A276" s="165"/>
      <c r="B276" s="166"/>
      <c r="C276" s="166"/>
      <c r="D276" s="16"/>
      <c r="E276" s="16"/>
      <c r="F276" s="16"/>
      <c r="G276" s="17"/>
      <c r="H276" s="17"/>
      <c r="I276" s="18"/>
      <c r="J276" s="18"/>
      <c r="K276" s="19"/>
      <c r="L276" s="19"/>
      <c r="M276" s="19"/>
      <c r="N276" s="19"/>
      <c r="O276" s="19"/>
      <c r="P276" s="19"/>
    </row>
    <row r="277" spans="1:16" ht="18.75" hidden="1" x14ac:dyDescent="0.25">
      <c r="A277" s="280"/>
      <c r="B277" s="281"/>
      <c r="C277" s="281"/>
      <c r="D277" s="282" t="s">
        <v>110</v>
      </c>
      <c r="E277" s="283"/>
      <c r="F277" s="283"/>
      <c r="G277" s="284"/>
      <c r="H277" s="285" t="s">
        <v>33</v>
      </c>
      <c r="I277" s="205">
        <v>0</v>
      </c>
      <c r="J277" s="205">
        <v>0</v>
      </c>
      <c r="K277" s="286">
        <v>0</v>
      </c>
      <c r="L277" s="287"/>
      <c r="M277" s="287"/>
      <c r="N277" s="287"/>
      <c r="O277" s="287"/>
      <c r="P277" s="287"/>
    </row>
    <row r="278" spans="1:16" ht="19.5" x14ac:dyDescent="0.3">
      <c r="A278" s="288" t="s">
        <v>111</v>
      </c>
      <c r="B278" s="289"/>
      <c r="C278" s="289"/>
      <c r="D278" s="289"/>
      <c r="E278" s="290"/>
      <c r="F278" s="290"/>
      <c r="G278" s="290"/>
      <c r="H278" s="290"/>
      <c r="I278" s="291"/>
      <c r="J278" s="291"/>
      <c r="K278" s="292"/>
      <c r="L278" s="292"/>
      <c r="M278" s="292"/>
      <c r="N278" s="292"/>
      <c r="O278" s="292"/>
      <c r="P278" s="293"/>
    </row>
    <row r="279" spans="1:16" ht="19.5" x14ac:dyDescent="0.3">
      <c r="A279" s="294" t="s">
        <v>112</v>
      </c>
      <c r="B279" s="295"/>
      <c r="C279" s="296"/>
      <c r="D279" s="295"/>
      <c r="E279" s="295"/>
      <c r="F279" s="295"/>
      <c r="G279" s="295"/>
      <c r="H279" s="295"/>
      <c r="I279" s="297"/>
      <c r="J279" s="298"/>
      <c r="K279" s="299"/>
      <c r="L279" s="299"/>
      <c r="M279" s="299"/>
      <c r="N279" s="299"/>
      <c r="O279" s="299"/>
      <c r="P279" s="299"/>
    </row>
    <row r="280" spans="1:16" ht="19.5" x14ac:dyDescent="0.3">
      <c r="A280" s="300"/>
      <c r="B280" s="301" t="s">
        <v>113</v>
      </c>
      <c r="C280" s="302"/>
      <c r="D280" s="303"/>
      <c r="E280" s="302"/>
      <c r="F280" s="302"/>
      <c r="G280" s="304"/>
      <c r="H280" s="305" t="s">
        <v>33</v>
      </c>
      <c r="I280" s="306">
        <f ca="1">I293</f>
        <v>30</v>
      </c>
      <c r="J280" s="306">
        <f>J293</f>
        <v>30</v>
      </c>
      <c r="K280" s="307">
        <f ca="1">IF(I280&gt;0,J280*100/I280,0)</f>
        <v>100</v>
      </c>
      <c r="L280" s="308"/>
      <c r="M280" s="308"/>
      <c r="N280" s="308"/>
      <c r="O280" s="308"/>
      <c r="P280" s="308"/>
    </row>
    <row r="281" spans="1:16" ht="19.5" x14ac:dyDescent="0.3">
      <c r="A281" s="300"/>
      <c r="B281" s="302"/>
      <c r="C281" s="302"/>
      <c r="D281" s="303"/>
      <c r="E281" s="302"/>
      <c r="F281" s="302"/>
      <c r="G281" s="304"/>
      <c r="H281" s="305" t="s">
        <v>44</v>
      </c>
      <c r="I281" s="306">
        <f ca="1">I292</f>
        <v>300</v>
      </c>
      <c r="J281" s="306">
        <f>J292</f>
        <v>300</v>
      </c>
      <c r="K281" s="307">
        <f ca="1">IF(I281&gt;0,J281*100/I281,0)</f>
        <v>100</v>
      </c>
      <c r="L281" s="308"/>
      <c r="M281" s="308"/>
      <c r="N281" s="308"/>
      <c r="O281" s="308"/>
      <c r="P281" s="308"/>
    </row>
    <row r="282" spans="1:16" ht="19.5" x14ac:dyDescent="0.3">
      <c r="A282" s="136"/>
      <c r="B282" s="41"/>
      <c r="C282" s="197" t="s">
        <v>16</v>
      </c>
      <c r="D282" s="397" t="s">
        <v>17</v>
      </c>
      <c r="E282" s="41"/>
      <c r="F282" s="41"/>
      <c r="G282" s="43"/>
      <c r="H282" s="139" t="s">
        <v>12</v>
      </c>
      <c r="I282" s="45"/>
      <c r="J282" s="45"/>
      <c r="K282" s="46"/>
      <c r="L282" s="140">
        <f ca="1">L283+L284</f>
        <v>100120</v>
      </c>
      <c r="M282" s="140">
        <f ca="1">M283+M284</f>
        <v>88480</v>
      </c>
      <c r="N282" s="140">
        <f ca="1">N283+N284</f>
        <v>11440</v>
      </c>
      <c r="O282" s="140">
        <f ca="1">IF(L282&gt;0,N282*100/L282,0)</f>
        <v>11.426288453855374</v>
      </c>
      <c r="P282" s="140">
        <f ca="1">IF(M282&gt;0,N282*100/M282,0)</f>
        <v>12.929475587703436</v>
      </c>
    </row>
    <row r="283" spans="1:16" ht="18.75" hidden="1" x14ac:dyDescent="0.25">
      <c r="A283" s="136"/>
      <c r="B283" s="41"/>
      <c r="C283" s="41"/>
      <c r="D283" s="41"/>
      <c r="E283" s="279" t="s">
        <v>18</v>
      </c>
      <c r="F283" s="41"/>
      <c r="G283" s="43"/>
      <c r="H283" s="141" t="s">
        <v>12</v>
      </c>
      <c r="I283" s="45"/>
      <c r="J283" s="45"/>
      <c r="K283" s="46"/>
      <c r="L283" s="50">
        <f>L286+L289</f>
        <v>0</v>
      </c>
      <c r="M283" s="50">
        <f>M286+M289</f>
        <v>0</v>
      </c>
      <c r="N283" s="50">
        <f>N286+N289</f>
        <v>0</v>
      </c>
      <c r="O283" s="50">
        <f>IF(L283&gt;0,N283*100/L283,0)</f>
        <v>0</v>
      </c>
      <c r="P283" s="50">
        <f>IF(M283&gt;0,N283*100/M283,0)</f>
        <v>0</v>
      </c>
    </row>
    <row r="284" spans="1:16" ht="18.75" x14ac:dyDescent="0.25">
      <c r="A284" s="136"/>
      <c r="B284" s="41"/>
      <c r="C284" s="41"/>
      <c r="D284" s="41"/>
      <c r="E284" s="254" t="s">
        <v>19</v>
      </c>
      <c r="F284" s="41"/>
      <c r="G284" s="43"/>
      <c r="H284" s="142" t="s">
        <v>12</v>
      </c>
      <c r="I284" s="45"/>
      <c r="J284" s="45"/>
      <c r="K284" s="46"/>
      <c r="L284" s="47">
        <f ca="1">L287+L290</f>
        <v>100120</v>
      </c>
      <c r="M284" s="47">
        <f ca="1">M287+M290</f>
        <v>88480</v>
      </c>
      <c r="N284" s="47">
        <f ca="1">N287+N290</f>
        <v>11440</v>
      </c>
      <c r="O284" s="47">
        <f ca="1">IF(L284&gt;0,N284*100/L284,0)</f>
        <v>11.426288453855374</v>
      </c>
      <c r="P284" s="47">
        <f ca="1">IF(M284&gt;0,N284*100/M284,0)</f>
        <v>12.929475587703436</v>
      </c>
    </row>
    <row r="285" spans="1:16" ht="18.75" x14ac:dyDescent="0.25">
      <c r="A285" s="136"/>
      <c r="B285" s="41"/>
      <c r="C285" s="41"/>
      <c r="D285" s="42" t="s">
        <v>20</v>
      </c>
      <c r="E285" s="41"/>
      <c r="F285" s="41"/>
      <c r="G285" s="43"/>
      <c r="H285" s="143" t="s">
        <v>12</v>
      </c>
      <c r="I285" s="144"/>
      <c r="J285" s="144"/>
      <c r="K285" s="145"/>
      <c r="L285" s="47">
        <f ca="1">L286+L287</f>
        <v>100120</v>
      </c>
      <c r="M285" s="47">
        <f ca="1">M286+M287</f>
        <v>88480</v>
      </c>
      <c r="N285" s="47">
        <f ca="1">N286+N287</f>
        <v>11440</v>
      </c>
      <c r="O285" s="47">
        <f ca="1">IF(L285&gt;0,N285*100/L285,0)</f>
        <v>11.426288453855374</v>
      </c>
      <c r="P285" s="47">
        <f ca="1">IF(M285&gt;0,N285*100/M285,0)</f>
        <v>12.929475587703436</v>
      </c>
    </row>
    <row r="286" spans="1:16" ht="18.75" hidden="1" x14ac:dyDescent="0.25">
      <c r="A286" s="136"/>
      <c r="B286" s="41"/>
      <c r="C286" s="41"/>
      <c r="D286" s="41"/>
      <c r="E286" s="279" t="s">
        <v>34</v>
      </c>
      <c r="F286" s="41"/>
      <c r="G286" s="43"/>
      <c r="H286" s="146" t="s">
        <v>12</v>
      </c>
      <c r="I286" s="144"/>
      <c r="J286" s="144"/>
      <c r="K286" s="145"/>
      <c r="L286" s="50">
        <v>0</v>
      </c>
      <c r="M286" s="50">
        <v>0</v>
      </c>
      <c r="N286" s="50">
        <v>0</v>
      </c>
      <c r="O286" s="50">
        <f>IF(L286&gt;0,N286*100/L286,0)</f>
        <v>0</v>
      </c>
      <c r="P286" s="50">
        <f>IF(M286&gt;0,N286*100/M286,0)</f>
        <v>0</v>
      </c>
    </row>
    <row r="287" spans="1:16" ht="18.75" x14ac:dyDescent="0.25">
      <c r="A287" s="136"/>
      <c r="B287" s="41"/>
      <c r="C287" s="41"/>
      <c r="D287" s="41"/>
      <c r="E287" s="254" t="s">
        <v>35</v>
      </c>
      <c r="F287" s="41"/>
      <c r="G287" s="43"/>
      <c r="H287" s="143" t="s">
        <v>12</v>
      </c>
      <c r="I287" s="144"/>
      <c r="J287" s="144"/>
      <c r="K287" s="145"/>
      <c r="L287" s="47">
        <f ca="1">IFERROR(__xludf.DUMMYFUNCTION("IMPORTRANGE(""https://docs.google.com/spreadsheets/d/1-uDff_7J0KD5mKrp0Vvzr7lt3OU09vwQwhkpOPPYv2Y/edit?usp=sharing"",""งบพรบ!DO30"")"),100120)</f>
        <v>100120</v>
      </c>
      <c r="M287" s="47">
        <f ca="1">IFERROR(__xludf.DUMMYFUNCTION("IMPORTRANGE(""https://docs.google.com/spreadsheets/d/1-uDff_7J0KD5mKrp0Vvzr7lt3OU09vwQwhkpOPPYv2Y/edit?usp=sharing"",""งบพรบ!DT30"")"),88480)</f>
        <v>88480</v>
      </c>
      <c r="N287" s="47">
        <f ca="1">IFERROR(__xludf.DUMMYFUNCTION("IMPORTRANGE(""https://docs.google.com/spreadsheets/d/1-uDff_7J0KD5mKrp0Vvzr7lt3OU09vwQwhkpOPPYv2Y/edit?usp=sharing"",""งบพรบ!DV30"")"),11440)</f>
        <v>11440</v>
      </c>
      <c r="O287" s="47">
        <f ca="1">IF(L287&gt;0,N287*100/L287,0)</f>
        <v>11.426288453855374</v>
      </c>
      <c r="P287" s="47">
        <f ca="1">IF(M287&gt;0,N287*100/M287,0)</f>
        <v>12.929475587703436</v>
      </c>
    </row>
    <row r="288" spans="1:16" ht="18.75" x14ac:dyDescent="0.25">
      <c r="A288" s="136"/>
      <c r="B288" s="41"/>
      <c r="C288" s="41"/>
      <c r="D288" s="42" t="s">
        <v>21</v>
      </c>
      <c r="E288" s="41"/>
      <c r="F288" s="41"/>
      <c r="G288" s="43"/>
      <c r="H288" s="147" t="s">
        <v>12</v>
      </c>
      <c r="I288" s="144"/>
      <c r="J288" s="144"/>
      <c r="K288" s="145"/>
      <c r="L288" s="47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</row>
    <row r="289" spans="1:16" ht="18.75" hidden="1" x14ac:dyDescent="0.25">
      <c r="A289" s="136"/>
      <c r="B289" s="41"/>
      <c r="C289" s="41"/>
      <c r="D289" s="41"/>
      <c r="E289" s="279" t="s">
        <v>18</v>
      </c>
      <c r="F289" s="41"/>
      <c r="G289" s="43"/>
      <c r="H289" s="146" t="s">
        <v>12</v>
      </c>
      <c r="I289" s="144"/>
      <c r="J289" s="144"/>
      <c r="K289" s="145"/>
      <c r="L289" s="50">
        <v>0</v>
      </c>
      <c r="M289" s="50">
        <v>0</v>
      </c>
      <c r="N289" s="50">
        <v>0</v>
      </c>
      <c r="O289" s="50">
        <f>IF(L289&gt;0,N289*100/L289,0)</f>
        <v>0</v>
      </c>
      <c r="P289" s="50">
        <f>IF(M289&gt;0,N289*100/M289,0)</f>
        <v>0</v>
      </c>
    </row>
    <row r="290" spans="1:16" ht="18.75" x14ac:dyDescent="0.25">
      <c r="A290" s="136"/>
      <c r="B290" s="41"/>
      <c r="C290" s="41"/>
      <c r="D290" s="41"/>
      <c r="E290" s="254" t="s">
        <v>19</v>
      </c>
      <c r="F290" s="41"/>
      <c r="G290" s="43"/>
      <c r="H290" s="147" t="s">
        <v>12</v>
      </c>
      <c r="I290" s="144"/>
      <c r="J290" s="144"/>
      <c r="K290" s="145"/>
      <c r="L290" s="47">
        <f ca="1">IFERROR(__xludf.DUMMYFUNCTION("IMPORTRANGE(""https://docs.google.com/spreadsheets/d/1-uDff_7J0KD5mKrp0Vvzr7lt3OU09vwQwhkpOPPYv2Y/edit?usp=sharing"",""งบพรบ!DR30"")"),0)</f>
        <v>0</v>
      </c>
      <c r="M290" s="47">
        <f ca="1">IFERROR(__xludf.DUMMYFUNCTION("IMPORTRANGE(""https://docs.google.com/spreadsheets/d/1-uDff_7J0KD5mKrp0Vvzr7lt3OU09vwQwhkpOPPYv2Y/edit?usp=sharing"",""งบพรบ!DU30"")"),0)</f>
        <v>0</v>
      </c>
      <c r="N290" s="47">
        <f ca="1">IFERROR(__xludf.DUMMYFUNCTION("IMPORTRANGE(""https://docs.google.com/spreadsheets/d/1-uDff_7J0KD5mKrp0Vvzr7lt3OU09vwQwhkpOPPYv2Y/edit?usp=sharing"",""งบพรบ!DW30"")"),0)</f>
        <v>0</v>
      </c>
      <c r="O290" s="47">
        <f ca="1">IF(L290&gt;0,N290*100/L290,0)</f>
        <v>0</v>
      </c>
      <c r="P290" s="47">
        <f ca="1">IF(M290&gt;0,N290*100/M290,0)</f>
        <v>0</v>
      </c>
    </row>
    <row r="291" spans="1:16" ht="19.5" x14ac:dyDescent="0.3">
      <c r="A291" s="148"/>
      <c r="B291" s="149"/>
      <c r="C291" s="197" t="s">
        <v>16</v>
      </c>
      <c r="D291" s="395" t="s">
        <v>36</v>
      </c>
      <c r="E291" s="151"/>
      <c r="F291" s="151"/>
      <c r="G291" s="152"/>
      <c r="H291" s="153"/>
      <c r="I291" s="144"/>
      <c r="J291" s="144"/>
      <c r="K291" s="145"/>
      <c r="L291" s="145"/>
      <c r="M291" s="145"/>
      <c r="N291" s="145"/>
      <c r="O291" s="145"/>
      <c r="P291" s="145"/>
    </row>
    <row r="292" spans="1:16" ht="18.75" x14ac:dyDescent="0.25">
      <c r="A292" s="148"/>
      <c r="B292" s="149"/>
      <c r="C292" s="149"/>
      <c r="D292" s="159" t="s">
        <v>114</v>
      </c>
      <c r="E292" s="149"/>
      <c r="F292" s="155"/>
      <c r="G292" s="153"/>
      <c r="H292" s="164" t="s">
        <v>44</v>
      </c>
      <c r="I292" s="169">
        <f ca="1">IFERROR(__xludf.DUMMYFUNCTION("IMPORTRANGE(""https://docs.google.com/spreadsheets/d/1eHaY18a8A9IcSdp1K8H6x8fbOy06t2VsZHhMHf-1x7Y/edit?usp=sharing"",""แผน!EE30"")"),300)</f>
        <v>300</v>
      </c>
      <c r="J292" s="250">
        <v>300</v>
      </c>
      <c r="K292" s="163">
        <f ca="1">IF(I292&gt;0,J292*100/I292,0)</f>
        <v>100</v>
      </c>
      <c r="L292" s="145"/>
      <c r="M292" s="145"/>
      <c r="N292" s="145"/>
      <c r="O292" s="145"/>
      <c r="P292" s="145"/>
    </row>
    <row r="293" spans="1:16" ht="19.5" x14ac:dyDescent="0.3">
      <c r="A293" s="148"/>
      <c r="B293" s="149"/>
      <c r="C293" s="149"/>
      <c r="D293" s="159" t="s">
        <v>115</v>
      </c>
      <c r="E293" s="149"/>
      <c r="F293" s="155"/>
      <c r="G293" s="153"/>
      <c r="H293" s="156" t="s">
        <v>33</v>
      </c>
      <c r="I293" s="157">
        <f ca="1">IFERROR(__xludf.DUMMYFUNCTION("IMPORTRANGE(""https://docs.google.com/spreadsheets/d/1eHaY18a8A9IcSdp1K8H6x8fbOy06t2VsZHhMHf-1x7Y/edit?usp=sharing"",""แผน!ED30"")"),30)</f>
        <v>30</v>
      </c>
      <c r="J293" s="157">
        <f>J296</f>
        <v>30</v>
      </c>
      <c r="K293" s="158">
        <f ca="1">IF(I293&gt;0,J293*100/I293,0)</f>
        <v>100</v>
      </c>
      <c r="L293" s="145"/>
      <c r="M293" s="145"/>
      <c r="N293" s="145"/>
      <c r="O293" s="145"/>
      <c r="P293" s="145"/>
    </row>
    <row r="294" spans="1:16" ht="19.5" x14ac:dyDescent="0.3">
      <c r="A294" s="148"/>
      <c r="B294" s="149"/>
      <c r="C294" s="149"/>
      <c r="D294" s="155"/>
      <c r="E294" s="167" t="s">
        <v>116</v>
      </c>
      <c r="F294" s="155"/>
      <c r="G294" s="153"/>
      <c r="H294" s="153"/>
      <c r="I294" s="144"/>
      <c r="J294" s="45"/>
      <c r="K294" s="145"/>
      <c r="L294" s="145"/>
      <c r="M294" s="145"/>
      <c r="N294" s="145"/>
      <c r="O294" s="145"/>
      <c r="P294" s="145"/>
    </row>
    <row r="295" spans="1:16" ht="19.5" x14ac:dyDescent="0.3">
      <c r="A295" s="148"/>
      <c r="B295" s="149"/>
      <c r="C295" s="149"/>
      <c r="D295" s="155"/>
      <c r="E295" s="159" t="s">
        <v>117</v>
      </c>
      <c r="F295" s="155"/>
      <c r="G295" s="153"/>
      <c r="H295" s="251" t="s">
        <v>33</v>
      </c>
      <c r="I295" s="161">
        <f ca="1">IFERROR(__xludf.DUMMYFUNCTION("IMPORTRANGE(""https://docs.google.com/spreadsheets/d/1eHaY18a8A9IcSdp1K8H6x8fbOy06t2VsZHhMHf-1x7Y/edit?usp=sharing"",""แผน!ED30"")"),30)</f>
        <v>30</v>
      </c>
      <c r="J295" s="250">
        <v>30</v>
      </c>
      <c r="K295" s="163">
        <f ca="1">IF(I295&gt;0,J295*100/I295,0)</f>
        <v>100</v>
      </c>
      <c r="L295" s="145"/>
      <c r="M295" s="145"/>
      <c r="N295" s="145"/>
      <c r="O295" s="145"/>
      <c r="P295" s="145"/>
    </row>
    <row r="296" spans="1:16" ht="19.5" x14ac:dyDescent="0.3">
      <c r="A296" s="148"/>
      <c r="B296" s="149"/>
      <c r="C296" s="149"/>
      <c r="D296" s="155"/>
      <c r="E296" s="159" t="s">
        <v>118</v>
      </c>
      <c r="F296" s="155"/>
      <c r="G296" s="153"/>
      <c r="H296" s="251" t="s">
        <v>33</v>
      </c>
      <c r="I296" s="161">
        <f ca="1">IFERROR(__xludf.DUMMYFUNCTION("IMPORTRANGE(""https://docs.google.com/spreadsheets/d/1eHaY18a8A9IcSdp1K8H6x8fbOy06t2VsZHhMHf-1x7Y/edit?usp=sharing"",""แผน!ED30"")"),30)</f>
        <v>30</v>
      </c>
      <c r="J296" s="250">
        <v>30</v>
      </c>
      <c r="K296" s="163">
        <f ca="1">IF(I296&gt;0,J296*100/I296,0)</f>
        <v>100</v>
      </c>
      <c r="L296" s="145"/>
      <c r="M296" s="145"/>
      <c r="N296" s="145"/>
      <c r="O296" s="145"/>
      <c r="P296" s="145"/>
    </row>
    <row r="297" spans="1:16" ht="12.75" hidden="1" x14ac:dyDescent="0.2">
      <c r="A297" s="165"/>
      <c r="B297" s="166"/>
      <c r="C297" s="166"/>
      <c r="D297" s="16"/>
      <c r="E297" s="16"/>
      <c r="F297" s="16"/>
      <c r="G297" s="17"/>
      <c r="H297" s="17"/>
      <c r="I297" s="18"/>
      <c r="J297" s="18"/>
      <c r="K297" s="19"/>
      <c r="L297" s="19"/>
      <c r="M297" s="19"/>
      <c r="N297" s="19"/>
      <c r="O297" s="19"/>
      <c r="P297" s="19"/>
    </row>
    <row r="298" spans="1:16" ht="12.75" hidden="1" x14ac:dyDescent="0.2">
      <c r="A298" s="165"/>
      <c r="B298" s="166"/>
      <c r="C298" s="166"/>
      <c r="D298" s="16"/>
      <c r="E298" s="16"/>
      <c r="F298" s="16"/>
      <c r="G298" s="17"/>
      <c r="H298" s="17"/>
      <c r="I298" s="18"/>
      <c r="J298" s="18"/>
      <c r="K298" s="19"/>
      <c r="L298" s="19"/>
      <c r="M298" s="19"/>
      <c r="N298" s="19"/>
      <c r="O298" s="19"/>
      <c r="P298" s="19"/>
    </row>
    <row r="299" spans="1:16" ht="12.75" hidden="1" x14ac:dyDescent="0.2">
      <c r="A299" s="309"/>
      <c r="B299" s="310"/>
      <c r="C299" s="310"/>
      <c r="D299" s="21"/>
      <c r="E299" s="21"/>
      <c r="F299" s="21"/>
      <c r="G299" s="12"/>
      <c r="H299" s="12"/>
      <c r="I299" s="13"/>
      <c r="J299" s="13"/>
      <c r="K299" s="14"/>
      <c r="L299" s="14"/>
      <c r="M299" s="14"/>
      <c r="N299" s="14"/>
      <c r="O299" s="14"/>
      <c r="P299" s="14"/>
    </row>
    <row r="300" spans="1:16" ht="19.5" x14ac:dyDescent="0.3">
      <c r="A300" s="311" t="s">
        <v>119</v>
      </c>
      <c r="B300" s="312"/>
      <c r="C300" s="312"/>
      <c r="D300" s="312"/>
      <c r="E300" s="313"/>
      <c r="F300" s="313"/>
      <c r="G300" s="313"/>
      <c r="H300" s="313"/>
      <c r="I300" s="314"/>
      <c r="J300" s="314"/>
      <c r="K300" s="315"/>
      <c r="L300" s="315"/>
      <c r="M300" s="315"/>
      <c r="N300" s="315"/>
      <c r="O300" s="315"/>
      <c r="P300" s="316"/>
    </row>
    <row r="301" spans="1:16" ht="19.5" x14ac:dyDescent="0.3">
      <c r="A301" s="317" t="s">
        <v>120</v>
      </c>
      <c r="B301" s="318"/>
      <c r="C301" s="318"/>
      <c r="D301" s="319"/>
      <c r="E301" s="319"/>
      <c r="F301" s="319"/>
      <c r="G301" s="320"/>
      <c r="H301" s="320"/>
      <c r="I301" s="321"/>
      <c r="J301" s="321"/>
      <c r="K301" s="322"/>
      <c r="L301" s="322"/>
      <c r="M301" s="322"/>
      <c r="N301" s="322"/>
      <c r="O301" s="322"/>
      <c r="P301" s="322"/>
    </row>
    <row r="302" spans="1:16" ht="19.5" x14ac:dyDescent="0.3">
      <c r="A302" s="323"/>
      <c r="B302" s="324" t="s">
        <v>121</v>
      </c>
      <c r="C302" s="325"/>
      <c r="D302" s="325"/>
      <c r="E302" s="325"/>
      <c r="F302" s="325"/>
      <c r="G302" s="326"/>
      <c r="H302" s="327" t="s">
        <v>33</v>
      </c>
      <c r="I302" s="328">
        <f ca="1">I314</f>
        <v>20</v>
      </c>
      <c r="J302" s="328">
        <f>J314</f>
        <v>0</v>
      </c>
      <c r="K302" s="329">
        <f ca="1">IF(I302&gt;0,J302*100/I302,0)</f>
        <v>0</v>
      </c>
      <c r="L302" s="330"/>
      <c r="M302" s="330"/>
      <c r="N302" s="330"/>
      <c r="O302" s="330"/>
      <c r="P302" s="330"/>
    </row>
    <row r="303" spans="1:16" ht="19.5" x14ac:dyDescent="0.3">
      <c r="A303" s="136"/>
      <c r="B303" s="41"/>
      <c r="C303" s="197" t="s">
        <v>16</v>
      </c>
      <c r="D303" s="397" t="s">
        <v>17</v>
      </c>
      <c r="E303" s="41"/>
      <c r="F303" s="41"/>
      <c r="G303" s="43"/>
      <c r="H303" s="139" t="s">
        <v>12</v>
      </c>
      <c r="I303" s="45"/>
      <c r="J303" s="45"/>
      <c r="K303" s="46"/>
      <c r="L303" s="140">
        <f ca="1">L304+L305</f>
        <v>184600</v>
      </c>
      <c r="M303" s="140">
        <f ca="1">M304+M305</f>
        <v>137400</v>
      </c>
      <c r="N303" s="140">
        <f ca="1">N304+N305</f>
        <v>20500</v>
      </c>
      <c r="O303" s="140">
        <f ca="1">IF(L303&gt;0,N303*100/L303,0)</f>
        <v>11.105092091007585</v>
      </c>
      <c r="P303" s="140">
        <f ca="1">IF(M303&gt;0,N303*100/M303,0)</f>
        <v>14.919941775836973</v>
      </c>
    </row>
    <row r="304" spans="1:16" ht="18.75" hidden="1" x14ac:dyDescent="0.25">
      <c r="A304" s="136"/>
      <c r="B304" s="41"/>
      <c r="C304" s="41"/>
      <c r="D304" s="41"/>
      <c r="E304" s="279" t="s">
        <v>18</v>
      </c>
      <c r="F304" s="41"/>
      <c r="G304" s="43"/>
      <c r="H304" s="141" t="s">
        <v>12</v>
      </c>
      <c r="I304" s="45"/>
      <c r="J304" s="45"/>
      <c r="K304" s="46"/>
      <c r="L304" s="50">
        <f>L307+L310</f>
        <v>0</v>
      </c>
      <c r="M304" s="50">
        <f>M307+M310</f>
        <v>0</v>
      </c>
      <c r="N304" s="50">
        <f>N307+N310</f>
        <v>0</v>
      </c>
      <c r="O304" s="50">
        <f>IF(L304&gt;0,N304*100/L304,0)</f>
        <v>0</v>
      </c>
      <c r="P304" s="50">
        <f>IF(M304&gt;0,N304*100/M304,0)</f>
        <v>0</v>
      </c>
    </row>
    <row r="305" spans="1:16" ht="18.75" x14ac:dyDescent="0.25">
      <c r="A305" s="136"/>
      <c r="B305" s="41"/>
      <c r="C305" s="41"/>
      <c r="D305" s="41"/>
      <c r="E305" s="254" t="s">
        <v>19</v>
      </c>
      <c r="F305" s="41"/>
      <c r="G305" s="43"/>
      <c r="H305" s="142" t="s">
        <v>12</v>
      </c>
      <c r="I305" s="45"/>
      <c r="J305" s="45"/>
      <c r="K305" s="46"/>
      <c r="L305" s="47">
        <f ca="1">L308+L311</f>
        <v>184600</v>
      </c>
      <c r="M305" s="47">
        <f ca="1">M308+M311</f>
        <v>137400</v>
      </c>
      <c r="N305" s="47">
        <f ca="1">N308+N311</f>
        <v>20500</v>
      </c>
      <c r="O305" s="47">
        <f ca="1">IF(L305&gt;0,N305*100/L305,0)</f>
        <v>11.105092091007585</v>
      </c>
      <c r="P305" s="47">
        <f ca="1">IF(M305&gt;0,N305*100/M305,0)</f>
        <v>14.919941775836973</v>
      </c>
    </row>
    <row r="306" spans="1:16" ht="18.75" x14ac:dyDescent="0.25">
      <c r="A306" s="136"/>
      <c r="B306" s="41"/>
      <c r="C306" s="41"/>
      <c r="D306" s="42" t="s">
        <v>20</v>
      </c>
      <c r="E306" s="41"/>
      <c r="F306" s="41"/>
      <c r="G306" s="43"/>
      <c r="H306" s="143" t="s">
        <v>12</v>
      </c>
      <c r="I306" s="144"/>
      <c r="J306" s="144"/>
      <c r="K306" s="145"/>
      <c r="L306" s="47">
        <f ca="1">L307+L308</f>
        <v>184600</v>
      </c>
      <c r="M306" s="47">
        <f ca="1">M307+M308</f>
        <v>137400</v>
      </c>
      <c r="N306" s="47">
        <f ca="1">N307+N308</f>
        <v>20500</v>
      </c>
      <c r="O306" s="47">
        <f ca="1">IF(L306&gt;0,N306*100/L306,0)</f>
        <v>11.105092091007585</v>
      </c>
      <c r="P306" s="47">
        <f ca="1">IF(M306&gt;0,N306*100/M306,0)</f>
        <v>14.919941775836973</v>
      </c>
    </row>
    <row r="307" spans="1:16" ht="18.75" hidden="1" x14ac:dyDescent="0.25">
      <c r="A307" s="136"/>
      <c r="B307" s="41"/>
      <c r="C307" s="41"/>
      <c r="D307" s="41"/>
      <c r="E307" s="279" t="s">
        <v>34</v>
      </c>
      <c r="F307" s="41"/>
      <c r="G307" s="43"/>
      <c r="H307" s="146" t="s">
        <v>12</v>
      </c>
      <c r="I307" s="144"/>
      <c r="J307" s="144"/>
      <c r="K307" s="145"/>
      <c r="L307" s="50">
        <v>0</v>
      </c>
      <c r="M307" s="50">
        <v>0</v>
      </c>
      <c r="N307" s="50">
        <v>0</v>
      </c>
      <c r="O307" s="50">
        <f>IF(L307&gt;0,N307*100/L307,0)</f>
        <v>0</v>
      </c>
      <c r="P307" s="50">
        <f>IF(M307&gt;0,N307*100/M307,0)</f>
        <v>0</v>
      </c>
    </row>
    <row r="308" spans="1:16" ht="18.75" x14ac:dyDescent="0.25">
      <c r="A308" s="136"/>
      <c r="B308" s="41"/>
      <c r="C308" s="41"/>
      <c r="D308" s="41"/>
      <c r="E308" s="254" t="s">
        <v>35</v>
      </c>
      <c r="F308" s="41"/>
      <c r="G308" s="43"/>
      <c r="H308" s="143" t="s">
        <v>12</v>
      </c>
      <c r="I308" s="144"/>
      <c r="J308" s="144"/>
      <c r="K308" s="145"/>
      <c r="L308" s="47">
        <f ca="1">IFERROR(__xludf.DUMMYFUNCTION("IMPORTRANGE(""https://docs.google.com/spreadsheets/d/1-uDff_7J0KD5mKrp0Vvzr7lt3OU09vwQwhkpOPPYv2Y/edit?usp=sharing"",""งบพรบ!DY30"")"),184600)</f>
        <v>184600</v>
      </c>
      <c r="M308" s="47">
        <f ca="1">IFERROR(__xludf.DUMMYFUNCTION("IMPORTRANGE(""https://docs.google.com/spreadsheets/d/1-uDff_7J0KD5mKrp0Vvzr7lt3OU09vwQwhkpOPPYv2Y/edit?usp=sharing"",""งบพรบ!ED30"")"),137400)</f>
        <v>137400</v>
      </c>
      <c r="N308" s="47">
        <f ca="1">IFERROR(__xludf.DUMMYFUNCTION("IMPORTRANGE(""https://docs.google.com/spreadsheets/d/1-uDff_7J0KD5mKrp0Vvzr7lt3OU09vwQwhkpOPPYv2Y/edit?usp=sharing"",""งบพรบ!EF30"")"),20500)</f>
        <v>20500</v>
      </c>
      <c r="O308" s="47">
        <f ca="1">IF(L308&gt;0,N308*100/L308,0)</f>
        <v>11.105092091007585</v>
      </c>
      <c r="P308" s="47">
        <f ca="1">IF(M308&gt;0,N308*100/M308,0)</f>
        <v>14.919941775836973</v>
      </c>
    </row>
    <row r="309" spans="1:16" ht="18.75" x14ac:dyDescent="0.25">
      <c r="A309" s="136"/>
      <c r="B309" s="41"/>
      <c r="C309" s="41"/>
      <c r="D309" s="42" t="s">
        <v>21</v>
      </c>
      <c r="E309" s="41"/>
      <c r="F309" s="41"/>
      <c r="G309" s="43"/>
      <c r="H309" s="147" t="s">
        <v>12</v>
      </c>
      <c r="I309" s="144"/>
      <c r="J309" s="144"/>
      <c r="K309" s="145"/>
      <c r="L309" s="47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</row>
    <row r="310" spans="1:16" ht="18.75" hidden="1" x14ac:dyDescent="0.25">
      <c r="A310" s="136"/>
      <c r="B310" s="41"/>
      <c r="C310" s="41"/>
      <c r="D310" s="41"/>
      <c r="E310" s="279" t="s">
        <v>18</v>
      </c>
      <c r="F310" s="41"/>
      <c r="G310" s="43"/>
      <c r="H310" s="146" t="s">
        <v>12</v>
      </c>
      <c r="I310" s="144"/>
      <c r="J310" s="144"/>
      <c r="K310" s="145"/>
      <c r="L310" s="50">
        <v>0</v>
      </c>
      <c r="M310" s="50">
        <v>0</v>
      </c>
      <c r="N310" s="50">
        <v>0</v>
      </c>
      <c r="O310" s="50">
        <f>IF(L310&gt;0,N310*100/L310,0)</f>
        <v>0</v>
      </c>
      <c r="P310" s="50">
        <f>IF(M310&gt;0,N310*100/M310,0)</f>
        <v>0</v>
      </c>
    </row>
    <row r="311" spans="1:16" ht="18.75" x14ac:dyDescent="0.25">
      <c r="A311" s="136"/>
      <c r="B311" s="41"/>
      <c r="C311" s="41"/>
      <c r="D311" s="41"/>
      <c r="E311" s="254" t="s">
        <v>19</v>
      </c>
      <c r="F311" s="41"/>
      <c r="G311" s="43"/>
      <c r="H311" s="147" t="s">
        <v>12</v>
      </c>
      <c r="I311" s="144"/>
      <c r="J311" s="144"/>
      <c r="K311" s="145"/>
      <c r="L311" s="47">
        <f ca="1">IFERROR(__xludf.DUMMYFUNCTION("IMPORTRANGE(""https://docs.google.com/spreadsheets/d/1-uDff_7J0KD5mKrp0Vvzr7lt3OU09vwQwhkpOPPYv2Y/edit?usp=sharing"",""งบพรบ!EB30"")"),0)</f>
        <v>0</v>
      </c>
      <c r="M311" s="47">
        <f ca="1">IFERROR(__xludf.DUMMYFUNCTION("IMPORTRANGE(""https://docs.google.com/spreadsheets/d/1-uDff_7J0KD5mKrp0Vvzr7lt3OU09vwQwhkpOPPYv2Y/edit?usp=sharing"",""งบพรบ!EE30"")"),0)</f>
        <v>0</v>
      </c>
      <c r="N311" s="47">
        <f ca="1">IFERROR(__xludf.DUMMYFUNCTION("IMPORTRANGE(""https://docs.google.com/spreadsheets/d/1-uDff_7J0KD5mKrp0Vvzr7lt3OU09vwQwhkpOPPYv2Y/edit?usp=sharing"",""งบพรบ!EG30"")"),0)</f>
        <v>0</v>
      </c>
      <c r="O311" s="47">
        <f ca="1">IF(L311&gt;0,N311*100/L311,0)</f>
        <v>0</v>
      </c>
      <c r="P311" s="47">
        <f ca="1">IF(M311&gt;0,N311*100/M311,0)</f>
        <v>0</v>
      </c>
    </row>
    <row r="312" spans="1:16" ht="19.5" x14ac:dyDescent="0.3">
      <c r="A312" s="148"/>
      <c r="B312" s="149"/>
      <c r="C312" s="197" t="s">
        <v>16</v>
      </c>
      <c r="D312" s="395" t="s">
        <v>36</v>
      </c>
      <c r="E312" s="151"/>
      <c r="F312" s="151"/>
      <c r="G312" s="152"/>
      <c r="H312" s="153"/>
      <c r="I312" s="45"/>
      <c r="J312" s="45"/>
      <c r="K312" s="46"/>
      <c r="L312" s="46"/>
      <c r="M312" s="46"/>
      <c r="N312" s="46"/>
      <c r="O312" s="46"/>
      <c r="P312" s="46"/>
    </row>
    <row r="313" spans="1:16" ht="18.75" x14ac:dyDescent="0.25">
      <c r="A313" s="148"/>
      <c r="B313" s="149"/>
      <c r="C313" s="149"/>
      <c r="D313" s="159" t="s">
        <v>122</v>
      </c>
      <c r="E313" s="155"/>
      <c r="F313" s="155"/>
      <c r="G313" s="153"/>
      <c r="H313" s="153"/>
      <c r="I313" s="45"/>
      <c r="J313" s="250">
        <v>0</v>
      </c>
      <c r="K313" s="46"/>
      <c r="L313" s="46"/>
      <c r="M313" s="46"/>
      <c r="N313" s="46"/>
      <c r="O313" s="46"/>
      <c r="P313" s="46"/>
    </row>
    <row r="314" spans="1:16" ht="18.75" x14ac:dyDescent="0.25">
      <c r="A314" s="148"/>
      <c r="B314" s="149"/>
      <c r="C314" s="149"/>
      <c r="D314" s="159" t="s">
        <v>115</v>
      </c>
      <c r="E314" s="155"/>
      <c r="F314" s="155"/>
      <c r="G314" s="153"/>
      <c r="H314" s="251" t="s">
        <v>33</v>
      </c>
      <c r="I314" s="169">
        <f ca="1">IFERROR(__xludf.DUMMYFUNCTION("IMPORTRANGE(""https://docs.google.com/spreadsheets/d/1eHaY18a8A9IcSdp1K8H6x8fbOy06t2VsZHhMHf-1x7Y/edit?usp=sharing"",""แผน!EF30"")"),20)</f>
        <v>20</v>
      </c>
      <c r="J314" s="250">
        <v>0</v>
      </c>
      <c r="K314" s="47">
        <f ca="1">IF(I314&gt;0,J314*100/I314,0)</f>
        <v>0</v>
      </c>
      <c r="L314" s="46"/>
      <c r="M314" s="46"/>
      <c r="N314" s="46"/>
      <c r="O314" s="46"/>
      <c r="P314" s="46"/>
    </row>
    <row r="315" spans="1:16" ht="18.75" x14ac:dyDescent="0.25">
      <c r="A315" s="148"/>
      <c r="B315" s="149"/>
      <c r="C315" s="149"/>
      <c r="D315" s="159" t="s">
        <v>123</v>
      </c>
      <c r="E315" s="155"/>
      <c r="F315" s="155"/>
      <c r="G315" s="153"/>
      <c r="H315" s="251" t="s">
        <v>33</v>
      </c>
      <c r="I315" s="169">
        <f ca="1">IFERROR(__xludf.DUMMYFUNCTION("IMPORTRANGE(""https://docs.google.com/spreadsheets/d/1eHaY18a8A9IcSdp1K8H6x8fbOy06t2VsZHhMHf-1x7Y/edit?usp=sharing"",""แผน!EG30"")"),4)</f>
        <v>4</v>
      </c>
      <c r="J315" s="250">
        <v>0</v>
      </c>
      <c r="K315" s="47">
        <f ca="1">IF(I315&gt;0,J315*100/I315,0)</f>
        <v>0</v>
      </c>
      <c r="L315" s="46"/>
      <c r="M315" s="46"/>
      <c r="N315" s="46"/>
      <c r="O315" s="46"/>
      <c r="P315" s="46"/>
    </row>
    <row r="316" spans="1:16" ht="18.75" x14ac:dyDescent="0.25">
      <c r="A316" s="148"/>
      <c r="B316" s="149"/>
      <c r="C316" s="149"/>
      <c r="D316" s="159" t="s">
        <v>48</v>
      </c>
      <c r="E316" s="155"/>
      <c r="F316" s="155"/>
      <c r="G316" s="153"/>
      <c r="H316" s="251" t="s">
        <v>33</v>
      </c>
      <c r="I316" s="169">
        <f ca="1">IFERROR(__xludf.DUMMYFUNCTION("IMPORTRANGE(""https://docs.google.com/spreadsheets/d/1eHaY18a8A9IcSdp1K8H6x8fbOy06t2VsZHhMHf-1x7Y/edit?usp=sharing"",""แผน!EH30"")"),20)</f>
        <v>20</v>
      </c>
      <c r="J316" s="250">
        <v>0</v>
      </c>
      <c r="K316" s="47">
        <f ca="1">IF(I316&gt;0,J316*100/I316,0)</f>
        <v>0</v>
      </c>
      <c r="L316" s="46"/>
      <c r="M316" s="46"/>
      <c r="N316" s="46"/>
      <c r="O316" s="46"/>
      <c r="P316" s="46"/>
    </row>
    <row r="317" spans="1:16" ht="18.75" hidden="1" x14ac:dyDescent="0.25">
      <c r="A317" s="227"/>
      <c r="B317" s="228"/>
      <c r="C317" s="228"/>
      <c r="D317" s="279" t="s">
        <v>124</v>
      </c>
      <c r="E317" s="41"/>
      <c r="F317" s="41"/>
      <c r="G317" s="43"/>
      <c r="H317" s="49" t="s">
        <v>33</v>
      </c>
      <c r="I317" s="200">
        <f ca="1">IFERROR(__xludf.DUMMYFUNCTION("IMPORTRANGE(""https://docs.google.com/spreadsheets/d/1eHaY18a8A9IcSdp1K8H6x8fbOy06t2VsZHhMHf-1x7Y/edit?usp=sharing"",""แผน!EI30"")"),4)</f>
        <v>4</v>
      </c>
      <c r="J317" s="200">
        <v>0</v>
      </c>
      <c r="K317" s="50">
        <f ca="1">IF(I317&gt;0,J317*100/I317,0)</f>
        <v>0</v>
      </c>
      <c r="L317" s="46"/>
      <c r="M317" s="46"/>
      <c r="N317" s="46"/>
      <c r="O317" s="46"/>
      <c r="P317" s="46"/>
    </row>
    <row r="318" spans="1:16" ht="19.5" x14ac:dyDescent="0.3">
      <c r="A318" s="317" t="s">
        <v>125</v>
      </c>
      <c r="B318" s="318"/>
      <c r="C318" s="318"/>
      <c r="D318" s="319"/>
      <c r="E318" s="318"/>
      <c r="F318" s="318"/>
      <c r="G318" s="318"/>
      <c r="H318" s="319"/>
      <c r="I318" s="321"/>
      <c r="J318" s="321"/>
      <c r="K318" s="322"/>
      <c r="L318" s="322"/>
      <c r="M318" s="322"/>
      <c r="N318" s="322"/>
      <c r="O318" s="322"/>
      <c r="P318" s="322"/>
    </row>
    <row r="319" spans="1:16" ht="19.5" x14ac:dyDescent="0.3">
      <c r="A319" s="331"/>
      <c r="B319" s="324" t="s">
        <v>126</v>
      </c>
      <c r="C319" s="332"/>
      <c r="D319" s="333"/>
      <c r="E319" s="325"/>
      <c r="F319" s="325"/>
      <c r="G319" s="326"/>
      <c r="H319" s="327" t="s">
        <v>127</v>
      </c>
      <c r="I319" s="328">
        <f ca="1">I330</f>
        <v>1</v>
      </c>
      <c r="J319" s="328">
        <f>J330</f>
        <v>0</v>
      </c>
      <c r="K319" s="329">
        <f ca="1">IF(I319&gt;0,J319*100/I319,0)</f>
        <v>0</v>
      </c>
      <c r="L319" s="330"/>
      <c r="M319" s="330"/>
      <c r="N319" s="330"/>
      <c r="O319" s="330"/>
      <c r="P319" s="330"/>
    </row>
    <row r="320" spans="1:16" ht="19.5" x14ac:dyDescent="0.3">
      <c r="A320" s="136"/>
      <c r="B320" s="41"/>
      <c r="C320" s="197" t="s">
        <v>16</v>
      </c>
      <c r="D320" s="397" t="s">
        <v>17</v>
      </c>
      <c r="E320" s="41"/>
      <c r="F320" s="41"/>
      <c r="G320" s="43"/>
      <c r="H320" s="139" t="s">
        <v>12</v>
      </c>
      <c r="I320" s="45"/>
      <c r="J320" s="45"/>
      <c r="K320" s="46"/>
      <c r="L320" s="140">
        <f ca="1">L321+L322</f>
        <v>20000</v>
      </c>
      <c r="M320" s="140">
        <f ca="1">M321+M322</f>
        <v>20000</v>
      </c>
      <c r="N320" s="140">
        <f ca="1">N321+N322</f>
        <v>0</v>
      </c>
      <c r="O320" s="140">
        <f ca="1">IF(L320&gt;0,N320*100/L320,0)</f>
        <v>0</v>
      </c>
      <c r="P320" s="140">
        <f ca="1">IF(M320&gt;0,N320*100/M320,0)</f>
        <v>0</v>
      </c>
    </row>
    <row r="321" spans="1:16" ht="18.75" hidden="1" x14ac:dyDescent="0.25">
      <c r="A321" s="136"/>
      <c r="B321" s="41"/>
      <c r="C321" s="41"/>
      <c r="D321" s="41"/>
      <c r="E321" s="279" t="s">
        <v>18</v>
      </c>
      <c r="F321" s="41"/>
      <c r="G321" s="43"/>
      <c r="H321" s="141" t="s">
        <v>12</v>
      </c>
      <c r="I321" s="45"/>
      <c r="J321" s="45"/>
      <c r="K321" s="46"/>
      <c r="L321" s="50">
        <f>L324+L327</f>
        <v>0</v>
      </c>
      <c r="M321" s="50">
        <f>M324+M327</f>
        <v>0</v>
      </c>
      <c r="N321" s="50">
        <f>N324+N327</f>
        <v>0</v>
      </c>
      <c r="O321" s="50">
        <f>IF(L321&gt;0,N321*100/L321,0)</f>
        <v>0</v>
      </c>
      <c r="P321" s="50">
        <f>IF(M321&gt;0,N321*100/M321,0)</f>
        <v>0</v>
      </c>
    </row>
    <row r="322" spans="1:16" ht="18.75" x14ac:dyDescent="0.25">
      <c r="A322" s="136"/>
      <c r="B322" s="41"/>
      <c r="C322" s="41"/>
      <c r="D322" s="41"/>
      <c r="E322" s="254" t="s">
        <v>19</v>
      </c>
      <c r="F322" s="41"/>
      <c r="G322" s="43"/>
      <c r="H322" s="142" t="s">
        <v>12</v>
      </c>
      <c r="I322" s="45"/>
      <c r="J322" s="45"/>
      <c r="K322" s="46"/>
      <c r="L322" s="47">
        <f ca="1">L325+L328</f>
        <v>20000</v>
      </c>
      <c r="M322" s="47">
        <f ca="1">M325+M328</f>
        <v>20000</v>
      </c>
      <c r="N322" s="47">
        <f ca="1">N325+N328</f>
        <v>0</v>
      </c>
      <c r="O322" s="47">
        <f ca="1">IF(L322&gt;0,N322*100/L322,0)</f>
        <v>0</v>
      </c>
      <c r="P322" s="47">
        <f ca="1">IF(M322&gt;0,N322*100/M322,0)</f>
        <v>0</v>
      </c>
    </row>
    <row r="323" spans="1:16" ht="18.75" x14ac:dyDescent="0.25">
      <c r="A323" s="136"/>
      <c r="B323" s="41"/>
      <c r="C323" s="41"/>
      <c r="D323" s="42" t="s">
        <v>20</v>
      </c>
      <c r="E323" s="41"/>
      <c r="F323" s="41"/>
      <c r="G323" s="43"/>
      <c r="H323" s="143" t="s">
        <v>12</v>
      </c>
      <c r="I323" s="144"/>
      <c r="J323" s="144"/>
      <c r="K323" s="145"/>
      <c r="L323" s="47">
        <f ca="1">L324+L325</f>
        <v>20000</v>
      </c>
      <c r="M323" s="47">
        <f ca="1">M324+M325</f>
        <v>20000</v>
      </c>
      <c r="N323" s="47">
        <f ca="1">N324+N325</f>
        <v>0</v>
      </c>
      <c r="O323" s="47">
        <f ca="1">IF(L323&gt;0,N323*100/L323,0)</f>
        <v>0</v>
      </c>
      <c r="P323" s="47">
        <f ca="1">IF(M323&gt;0,N323*100/M323,0)</f>
        <v>0</v>
      </c>
    </row>
    <row r="324" spans="1:16" ht="18.75" hidden="1" x14ac:dyDescent="0.25">
      <c r="A324" s="136"/>
      <c r="B324" s="41"/>
      <c r="C324" s="41"/>
      <c r="D324" s="41"/>
      <c r="E324" s="279" t="s">
        <v>34</v>
      </c>
      <c r="F324" s="41"/>
      <c r="G324" s="43"/>
      <c r="H324" s="146" t="s">
        <v>12</v>
      </c>
      <c r="I324" s="144"/>
      <c r="J324" s="144"/>
      <c r="K324" s="145"/>
      <c r="L324" s="50">
        <v>0</v>
      </c>
      <c r="M324" s="50">
        <v>0</v>
      </c>
      <c r="N324" s="50">
        <v>0</v>
      </c>
      <c r="O324" s="50">
        <f>IF(L324&gt;0,N324*100/L324,0)</f>
        <v>0</v>
      </c>
      <c r="P324" s="50">
        <f>IF(M324&gt;0,N324*100/M324,0)</f>
        <v>0</v>
      </c>
    </row>
    <row r="325" spans="1:16" ht="18.75" x14ac:dyDescent="0.25">
      <c r="A325" s="136"/>
      <c r="B325" s="41"/>
      <c r="C325" s="41"/>
      <c r="D325" s="41"/>
      <c r="E325" s="254" t="s">
        <v>35</v>
      </c>
      <c r="F325" s="41"/>
      <c r="G325" s="43"/>
      <c r="H325" s="143" t="s">
        <v>12</v>
      </c>
      <c r="I325" s="144"/>
      <c r="J325" s="144"/>
      <c r="K325" s="145"/>
      <c r="L325" s="47">
        <f ca="1">IFERROR(__xludf.DUMMYFUNCTION("IMPORTRANGE(""https://docs.google.com/spreadsheets/d/1-uDff_7J0KD5mKrp0Vvzr7lt3OU09vwQwhkpOPPYv2Y/edit?usp=sharing"",""งบพรบ!EI30"")"),20000)</f>
        <v>20000</v>
      </c>
      <c r="M325" s="47">
        <f ca="1">IFERROR(__xludf.DUMMYFUNCTION("IMPORTRANGE(""https://docs.google.com/spreadsheets/d/1-uDff_7J0KD5mKrp0Vvzr7lt3OU09vwQwhkpOPPYv2Y/edit?usp=sharing"",""งบพรบ!EN30"")"),20000)</f>
        <v>20000</v>
      </c>
      <c r="N325" s="47">
        <f ca="1">IFERROR(__xludf.DUMMYFUNCTION("IMPORTRANGE(""https://docs.google.com/spreadsheets/d/1-uDff_7J0KD5mKrp0Vvzr7lt3OU09vwQwhkpOPPYv2Y/edit?usp=sharing"",""งบพรบ!EP30"")"),0)</f>
        <v>0</v>
      </c>
      <c r="O325" s="47">
        <f ca="1">IF(L325&gt;0,N325*100/L325,0)</f>
        <v>0</v>
      </c>
      <c r="P325" s="47">
        <f ca="1">IF(M325&gt;0,N325*100/M325,0)</f>
        <v>0</v>
      </c>
    </row>
    <row r="326" spans="1:16" ht="18.75" x14ac:dyDescent="0.25">
      <c r="A326" s="136"/>
      <c r="B326" s="41"/>
      <c r="C326" s="41"/>
      <c r="D326" s="42" t="s">
        <v>21</v>
      </c>
      <c r="E326" s="41"/>
      <c r="F326" s="41"/>
      <c r="G326" s="43"/>
      <c r="H326" s="147" t="s">
        <v>12</v>
      </c>
      <c r="I326" s="144"/>
      <c r="J326" s="144"/>
      <c r="K326" s="145"/>
      <c r="L326" s="47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</row>
    <row r="327" spans="1:16" ht="18.75" hidden="1" x14ac:dyDescent="0.25">
      <c r="A327" s="136"/>
      <c r="B327" s="41"/>
      <c r="C327" s="41"/>
      <c r="D327" s="41"/>
      <c r="E327" s="279" t="s">
        <v>18</v>
      </c>
      <c r="F327" s="41"/>
      <c r="G327" s="43"/>
      <c r="H327" s="146" t="s">
        <v>12</v>
      </c>
      <c r="I327" s="144"/>
      <c r="J327" s="144"/>
      <c r="K327" s="145"/>
      <c r="L327" s="50">
        <v>0</v>
      </c>
      <c r="M327" s="50">
        <v>0</v>
      </c>
      <c r="N327" s="50">
        <v>0</v>
      </c>
      <c r="O327" s="50">
        <f>IF(L327&gt;0,N327*100/L327,0)</f>
        <v>0</v>
      </c>
      <c r="P327" s="50">
        <f>IF(M327&gt;0,N327*100/M327,0)</f>
        <v>0</v>
      </c>
    </row>
    <row r="328" spans="1:16" ht="18.75" x14ac:dyDescent="0.25">
      <c r="A328" s="136"/>
      <c r="B328" s="41"/>
      <c r="C328" s="41"/>
      <c r="D328" s="41"/>
      <c r="E328" s="254" t="s">
        <v>19</v>
      </c>
      <c r="F328" s="41"/>
      <c r="G328" s="43"/>
      <c r="H328" s="147" t="s">
        <v>12</v>
      </c>
      <c r="I328" s="144"/>
      <c r="J328" s="144"/>
      <c r="K328" s="145"/>
      <c r="L328" s="47">
        <f ca="1">IFERROR(__xludf.DUMMYFUNCTION("IMPORTRANGE(""https://docs.google.com/spreadsheets/d/1-uDff_7J0KD5mKrp0Vvzr7lt3OU09vwQwhkpOPPYv2Y/edit?usp=sharing"",""งบพรบ!EL30"")"),0)</f>
        <v>0</v>
      </c>
      <c r="M328" s="47">
        <f ca="1">IFERROR(__xludf.DUMMYFUNCTION("IMPORTRANGE(""https://docs.google.com/spreadsheets/d/1-uDff_7J0KD5mKrp0Vvzr7lt3OU09vwQwhkpOPPYv2Y/edit?usp=sharing"",""งบพรบ!EO30"")"),0)</f>
        <v>0</v>
      </c>
      <c r="N328" s="47">
        <f ca="1">IFERROR(__xludf.DUMMYFUNCTION("IMPORTRANGE(""https://docs.google.com/spreadsheets/d/1-uDff_7J0KD5mKrp0Vvzr7lt3OU09vwQwhkpOPPYv2Y/edit?usp=sharing"",""งบพรบ!EQ30"")"),0)</f>
        <v>0</v>
      </c>
      <c r="O328" s="47">
        <f ca="1">IF(L328&gt;0,N328*100/L328,0)</f>
        <v>0</v>
      </c>
      <c r="P328" s="47">
        <f ca="1">IF(M328&gt;0,N328*100/M328,0)</f>
        <v>0</v>
      </c>
    </row>
    <row r="329" spans="1:16" ht="19.5" x14ac:dyDescent="0.3">
      <c r="A329" s="148"/>
      <c r="B329" s="149"/>
      <c r="C329" s="197" t="s">
        <v>16</v>
      </c>
      <c r="D329" s="395" t="s">
        <v>36</v>
      </c>
      <c r="E329" s="151"/>
      <c r="F329" s="151"/>
      <c r="G329" s="152"/>
      <c r="H329" s="153"/>
      <c r="I329" s="144"/>
      <c r="J329" s="45"/>
      <c r="K329" s="46"/>
      <c r="L329" s="46"/>
      <c r="M329" s="46"/>
      <c r="N329" s="46"/>
      <c r="O329" s="145"/>
      <c r="P329" s="145"/>
    </row>
    <row r="330" spans="1:16" ht="18.75" x14ac:dyDescent="0.25">
      <c r="A330" s="148"/>
      <c r="B330" s="149"/>
      <c r="C330" s="149"/>
      <c r="D330" s="154" t="s">
        <v>128</v>
      </c>
      <c r="E330" s="155"/>
      <c r="F330" s="155"/>
      <c r="G330" s="153"/>
      <c r="H330" s="44" t="s">
        <v>127</v>
      </c>
      <c r="I330" s="169">
        <f ca="1">IFERROR(__xludf.DUMMYFUNCTION("IMPORTRANGE(""https://docs.google.com/spreadsheets/d/1eHaY18a8A9IcSdp1K8H6x8fbOy06t2VsZHhMHf-1x7Y/edit?usp=sharing"",""แผน!EJ30"")"),1)</f>
        <v>1</v>
      </c>
      <c r="J330" s="250">
        <v>0</v>
      </c>
      <c r="K330" s="47">
        <f ca="1">IF(I330&gt;0,J330*100/I330,0)</f>
        <v>0</v>
      </c>
      <c r="L330" s="46"/>
      <c r="M330" s="46"/>
      <c r="N330" s="46"/>
      <c r="O330" s="145"/>
      <c r="P330" s="145"/>
    </row>
    <row r="331" spans="1:16" ht="19.5" x14ac:dyDescent="0.3">
      <c r="A331" s="317" t="s">
        <v>129</v>
      </c>
      <c r="B331" s="318"/>
      <c r="C331" s="318"/>
      <c r="D331" s="319"/>
      <c r="E331" s="318"/>
      <c r="F331" s="318"/>
      <c r="G331" s="318"/>
      <c r="H331" s="319"/>
      <c r="I331" s="321"/>
      <c r="J331" s="321"/>
      <c r="K331" s="322"/>
      <c r="L331" s="322"/>
      <c r="M331" s="322"/>
      <c r="N331" s="322"/>
      <c r="O331" s="322"/>
      <c r="P331" s="322"/>
    </row>
    <row r="332" spans="1:16" ht="19.5" x14ac:dyDescent="0.3">
      <c r="A332" s="323"/>
      <c r="B332" s="324" t="s">
        <v>130</v>
      </c>
      <c r="C332" s="333"/>
      <c r="D332" s="325"/>
      <c r="E332" s="325"/>
      <c r="F332" s="325"/>
      <c r="G332" s="326"/>
      <c r="H332" s="327" t="s">
        <v>33</v>
      </c>
      <c r="I332" s="334">
        <f ca="1">I344</f>
        <v>1660</v>
      </c>
      <c r="J332" s="335">
        <f ca="1">J344+J347+J348+J349+J353</f>
        <v>845</v>
      </c>
      <c r="K332" s="336">
        <f ca="1">IF(I332&gt;0,J332*100/I332,0)</f>
        <v>50.903614457831324</v>
      </c>
      <c r="L332" s="330"/>
      <c r="M332" s="330"/>
      <c r="N332" s="330"/>
      <c r="O332" s="330"/>
      <c r="P332" s="330"/>
    </row>
    <row r="333" spans="1:16" ht="19.5" x14ac:dyDescent="0.3">
      <c r="A333" s="136"/>
      <c r="B333" s="41"/>
      <c r="C333" s="197" t="s">
        <v>16</v>
      </c>
      <c r="D333" s="397" t="s">
        <v>17</v>
      </c>
      <c r="E333" s="41"/>
      <c r="F333" s="41"/>
      <c r="G333" s="43"/>
      <c r="H333" s="139" t="s">
        <v>12</v>
      </c>
      <c r="I333" s="45"/>
      <c r="J333" s="45"/>
      <c r="K333" s="46"/>
      <c r="L333" s="140">
        <f ca="1">L334+L335</f>
        <v>108000</v>
      </c>
      <c r="M333" s="140">
        <f ca="1">M334+M335</f>
        <v>85750</v>
      </c>
      <c r="N333" s="140">
        <f ca="1">N334+N335</f>
        <v>17800</v>
      </c>
      <c r="O333" s="140">
        <f ca="1">IF(L333&gt;0,N333*100/L333,0)</f>
        <v>16.481481481481481</v>
      </c>
      <c r="P333" s="140">
        <f ca="1">IF(M333&gt;0,N333*100/M333,0)</f>
        <v>20.758017492711371</v>
      </c>
    </row>
    <row r="334" spans="1:16" ht="18.75" hidden="1" x14ac:dyDescent="0.25">
      <c r="A334" s="136"/>
      <c r="B334" s="41"/>
      <c r="C334" s="41"/>
      <c r="D334" s="41"/>
      <c r="E334" s="279" t="s">
        <v>18</v>
      </c>
      <c r="F334" s="41"/>
      <c r="G334" s="43"/>
      <c r="H334" s="141" t="s">
        <v>12</v>
      </c>
      <c r="I334" s="45"/>
      <c r="J334" s="45"/>
      <c r="K334" s="46"/>
      <c r="L334" s="50">
        <f>L337+L340</f>
        <v>0</v>
      </c>
      <c r="M334" s="50">
        <f>M337+M340</f>
        <v>0</v>
      </c>
      <c r="N334" s="50">
        <f>N337+N340</f>
        <v>0</v>
      </c>
      <c r="O334" s="50">
        <f>IF(L334&gt;0,N334*100/L334,0)</f>
        <v>0</v>
      </c>
      <c r="P334" s="50">
        <f>IF(M334&gt;0,N334*100/M334,0)</f>
        <v>0</v>
      </c>
    </row>
    <row r="335" spans="1:16" ht="18.75" x14ac:dyDescent="0.25">
      <c r="A335" s="136"/>
      <c r="B335" s="41"/>
      <c r="C335" s="41"/>
      <c r="D335" s="41"/>
      <c r="E335" s="254" t="s">
        <v>19</v>
      </c>
      <c r="F335" s="41"/>
      <c r="G335" s="43"/>
      <c r="H335" s="142" t="s">
        <v>12</v>
      </c>
      <c r="I335" s="45"/>
      <c r="J335" s="45"/>
      <c r="K335" s="46"/>
      <c r="L335" s="47">
        <f ca="1">L338+L341</f>
        <v>108000</v>
      </c>
      <c r="M335" s="47">
        <f ca="1">M338+M341</f>
        <v>85750</v>
      </c>
      <c r="N335" s="47">
        <f ca="1">N338+N341</f>
        <v>17800</v>
      </c>
      <c r="O335" s="47">
        <f ca="1">IF(L335&gt;0,N335*100/L335,0)</f>
        <v>16.481481481481481</v>
      </c>
      <c r="P335" s="47">
        <f ca="1">IF(M335&gt;0,N335*100/M335,0)</f>
        <v>20.758017492711371</v>
      </c>
    </row>
    <row r="336" spans="1:16" ht="18.75" x14ac:dyDescent="0.25">
      <c r="A336" s="136"/>
      <c r="B336" s="41"/>
      <c r="C336" s="41"/>
      <c r="D336" s="42" t="s">
        <v>20</v>
      </c>
      <c r="E336" s="41"/>
      <c r="F336" s="41"/>
      <c r="G336" s="43"/>
      <c r="H336" s="143" t="s">
        <v>12</v>
      </c>
      <c r="I336" s="144"/>
      <c r="J336" s="144"/>
      <c r="K336" s="145"/>
      <c r="L336" s="47">
        <f ca="1">L337+L338</f>
        <v>108000</v>
      </c>
      <c r="M336" s="47">
        <f ca="1">M337+M338</f>
        <v>85750</v>
      </c>
      <c r="N336" s="47">
        <f ca="1">N337+N338</f>
        <v>17800</v>
      </c>
      <c r="O336" s="47">
        <f ca="1">IF(L336&gt;0,N336*100/L336,0)</f>
        <v>16.481481481481481</v>
      </c>
      <c r="P336" s="47">
        <f ca="1">IF(M336&gt;0,N336*100/M336,0)</f>
        <v>20.758017492711371</v>
      </c>
    </row>
    <row r="337" spans="1:16" ht="18.75" hidden="1" x14ac:dyDescent="0.25">
      <c r="A337" s="136"/>
      <c r="B337" s="41"/>
      <c r="C337" s="41"/>
      <c r="D337" s="41"/>
      <c r="E337" s="279" t="s">
        <v>34</v>
      </c>
      <c r="F337" s="41"/>
      <c r="G337" s="43"/>
      <c r="H337" s="146" t="s">
        <v>12</v>
      </c>
      <c r="I337" s="144"/>
      <c r="J337" s="144"/>
      <c r="K337" s="145"/>
      <c r="L337" s="50">
        <v>0</v>
      </c>
      <c r="M337" s="50">
        <v>0</v>
      </c>
      <c r="N337" s="50">
        <v>0</v>
      </c>
      <c r="O337" s="50">
        <f>IF(L337&gt;0,N337*100/L337,0)</f>
        <v>0</v>
      </c>
      <c r="P337" s="50">
        <f>IF(M337&gt;0,N337*100/M337,0)</f>
        <v>0</v>
      </c>
    </row>
    <row r="338" spans="1:16" ht="18.75" x14ac:dyDescent="0.25">
      <c r="A338" s="136"/>
      <c r="B338" s="41"/>
      <c r="C338" s="41"/>
      <c r="D338" s="41"/>
      <c r="E338" s="254" t="s">
        <v>35</v>
      </c>
      <c r="F338" s="41"/>
      <c r="G338" s="43"/>
      <c r="H338" s="143" t="s">
        <v>12</v>
      </c>
      <c r="I338" s="144"/>
      <c r="J338" s="144"/>
      <c r="K338" s="145"/>
      <c r="L338" s="47">
        <f ca="1">IFERROR(__xludf.DUMMYFUNCTION("IMPORTRANGE(""https://docs.google.com/spreadsheets/d/1-uDff_7J0KD5mKrp0Vvzr7lt3OU09vwQwhkpOPPYv2Y/edit?usp=sharing"",""งบพรบ!ES30"")"),108000)</f>
        <v>108000</v>
      </c>
      <c r="M338" s="47">
        <f ca="1">IFERROR(__xludf.DUMMYFUNCTION("IMPORTRANGE(""https://docs.google.com/spreadsheets/d/1-uDff_7J0KD5mKrp0Vvzr7lt3OU09vwQwhkpOPPYv2Y/edit?usp=sharing"",""งบพรบ!EX30"")"),85750)</f>
        <v>85750</v>
      </c>
      <c r="N338" s="47">
        <f ca="1">IFERROR(__xludf.DUMMYFUNCTION("IMPORTRANGE(""https://docs.google.com/spreadsheets/d/1-uDff_7J0KD5mKrp0Vvzr7lt3OU09vwQwhkpOPPYv2Y/edit?usp=sharing"",""งบพรบ!EZ30"")"),17800)</f>
        <v>17800</v>
      </c>
      <c r="O338" s="47">
        <f ca="1">IF(L338&gt;0,N338*100/L338,0)</f>
        <v>16.481481481481481</v>
      </c>
      <c r="P338" s="47">
        <f ca="1">IF(M338&gt;0,N338*100/M338,0)</f>
        <v>20.758017492711371</v>
      </c>
    </row>
    <row r="339" spans="1:16" ht="18.75" x14ac:dyDescent="0.25">
      <c r="A339" s="136"/>
      <c r="B339" s="41"/>
      <c r="C339" s="41"/>
      <c r="D339" s="42" t="s">
        <v>21</v>
      </c>
      <c r="E339" s="41"/>
      <c r="F339" s="41"/>
      <c r="G339" s="43"/>
      <c r="H339" s="147" t="s">
        <v>12</v>
      </c>
      <c r="I339" s="144"/>
      <c r="J339" s="144"/>
      <c r="K339" s="145"/>
      <c r="L339" s="47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</row>
    <row r="340" spans="1:16" ht="18.75" hidden="1" x14ac:dyDescent="0.25">
      <c r="A340" s="136"/>
      <c r="B340" s="41"/>
      <c r="C340" s="41"/>
      <c r="D340" s="41"/>
      <c r="E340" s="279" t="s">
        <v>18</v>
      </c>
      <c r="F340" s="41"/>
      <c r="G340" s="43"/>
      <c r="H340" s="146" t="s">
        <v>12</v>
      </c>
      <c r="I340" s="144"/>
      <c r="J340" s="144"/>
      <c r="K340" s="145"/>
      <c r="L340" s="50">
        <v>0</v>
      </c>
      <c r="M340" s="50">
        <v>0</v>
      </c>
      <c r="N340" s="50">
        <v>0</v>
      </c>
      <c r="O340" s="50">
        <f>IF(L340&gt;0,N340*100/L340,0)</f>
        <v>0</v>
      </c>
      <c r="P340" s="50">
        <f>IF(M340&gt;0,N340*100/M340,0)</f>
        <v>0</v>
      </c>
    </row>
    <row r="341" spans="1:16" ht="18.75" x14ac:dyDescent="0.25">
      <c r="A341" s="136"/>
      <c r="B341" s="41"/>
      <c r="C341" s="41"/>
      <c r="D341" s="41"/>
      <c r="E341" s="254" t="s">
        <v>19</v>
      </c>
      <c r="F341" s="41"/>
      <c r="G341" s="43"/>
      <c r="H341" s="147" t="s">
        <v>12</v>
      </c>
      <c r="I341" s="144"/>
      <c r="J341" s="144"/>
      <c r="K341" s="145"/>
      <c r="L341" s="47">
        <f ca="1">IFERROR(__xludf.DUMMYFUNCTION("IMPORTRANGE(""https://docs.google.com/spreadsheets/d/1-uDff_7J0KD5mKrp0Vvzr7lt3OU09vwQwhkpOPPYv2Y/edit?usp=sharing"",""งบพรบ!EV30"")"),0)</f>
        <v>0</v>
      </c>
      <c r="M341" s="47">
        <f ca="1">IFERROR(__xludf.DUMMYFUNCTION("IMPORTRANGE(""https://docs.google.com/spreadsheets/d/1-uDff_7J0KD5mKrp0Vvzr7lt3OU09vwQwhkpOPPYv2Y/edit?usp=sharing"",""งบพรบ!EY30"")"),0)</f>
        <v>0</v>
      </c>
      <c r="N341" s="47">
        <f ca="1">IFERROR(__xludf.DUMMYFUNCTION("IMPORTRANGE(""https://docs.google.com/spreadsheets/d/1-uDff_7J0KD5mKrp0Vvzr7lt3OU09vwQwhkpOPPYv2Y/edit?usp=sharing"",""งบพรบ!FA30"")"),0)</f>
        <v>0</v>
      </c>
      <c r="O341" s="47">
        <f ca="1">IF(L341&gt;0,N341*100/L341,0)</f>
        <v>0</v>
      </c>
      <c r="P341" s="47">
        <f ca="1">IF(M341&gt;0,N341*100/M341,0)</f>
        <v>0</v>
      </c>
    </row>
    <row r="342" spans="1:16" ht="19.5" x14ac:dyDescent="0.3">
      <c r="A342" s="148"/>
      <c r="B342" s="149"/>
      <c r="C342" s="197" t="s">
        <v>16</v>
      </c>
      <c r="D342" s="221" t="s">
        <v>36</v>
      </c>
      <c r="E342" s="151"/>
      <c r="F342" s="151"/>
      <c r="G342" s="152"/>
      <c r="H342" s="43"/>
      <c r="I342" s="45"/>
      <c r="J342" s="45"/>
      <c r="K342" s="46"/>
      <c r="L342" s="46"/>
      <c r="M342" s="46"/>
      <c r="N342" s="46"/>
      <c r="O342" s="145"/>
      <c r="P342" s="145"/>
    </row>
    <row r="343" spans="1:16" ht="19.5" x14ac:dyDescent="0.3">
      <c r="A343" s="337"/>
      <c r="B343" s="338"/>
      <c r="C343" s="339"/>
      <c r="D343" s="338"/>
      <c r="E343" s="398" t="s">
        <v>131</v>
      </c>
      <c r="F343" s="338"/>
      <c r="G343" s="341"/>
      <c r="H343" s="342" t="s">
        <v>33</v>
      </c>
      <c r="I343" s="343">
        <v>0</v>
      </c>
      <c r="J343" s="343">
        <f ca="1">J344+J347+J348+J349</f>
        <v>581</v>
      </c>
      <c r="K343" s="344">
        <v>0</v>
      </c>
      <c r="L343" s="345"/>
      <c r="M343" s="345"/>
      <c r="N343" s="345"/>
      <c r="O343" s="345"/>
      <c r="P343" s="345"/>
    </row>
    <row r="344" spans="1:16" ht="18.75" x14ac:dyDescent="0.25">
      <c r="A344" s="227"/>
      <c r="B344" s="41"/>
      <c r="C344" s="228"/>
      <c r="D344" s="155"/>
      <c r="E344" s="159" t="s">
        <v>132</v>
      </c>
      <c r="F344" s="41"/>
      <c r="G344" s="43"/>
      <c r="H344" s="230" t="s">
        <v>33</v>
      </c>
      <c r="I344" s="169">
        <f ca="1">IFERROR(__xludf.DUMMYFUNCTION("IMPORTRANGE(""https://docs.google.com/spreadsheets/d/1eHaY18a8A9IcSdp1K8H6x8fbOy06t2VsZHhMHf-1x7Y/edit?usp=sharing"",""แผน!EK30"")"),1660)</f>
        <v>1660</v>
      </c>
      <c r="J344" s="169">
        <f ca="1">IFERROR(__xludf.DUMMYFUNCTION("IMPORTRANGE(""https://docs.google.com/spreadsheets/d/1awYsYK3VOup2i3Pq_Yjnu8DRu_mYwSBnCR2QPthd0rU/edit?usp=sharing"",""ศูนย์ยกเว้นโฉนด!D30"")"),581)</f>
        <v>581</v>
      </c>
      <c r="K344" s="47">
        <f ca="1">IF(I344&gt;0,J344*100/I344,0)</f>
        <v>35</v>
      </c>
      <c r="L344" s="46"/>
      <c r="M344" s="46"/>
      <c r="N344" s="46"/>
      <c r="O344" s="46"/>
      <c r="P344" s="46"/>
    </row>
    <row r="345" spans="1:16" ht="18.75" x14ac:dyDescent="0.25">
      <c r="A345" s="227"/>
      <c r="B345" s="41"/>
      <c r="C345" s="228"/>
      <c r="D345" s="155"/>
      <c r="E345" s="159" t="s">
        <v>133</v>
      </c>
      <c r="F345" s="41"/>
      <c r="G345" s="43"/>
      <c r="H345" s="346"/>
      <c r="I345" s="45"/>
      <c r="J345" s="45"/>
      <c r="K345" s="46"/>
      <c r="L345" s="46"/>
      <c r="M345" s="46"/>
      <c r="N345" s="46"/>
      <c r="O345" s="46"/>
      <c r="P345" s="46"/>
    </row>
    <row r="346" spans="1:16" ht="18.75" x14ac:dyDescent="0.25">
      <c r="A346" s="227"/>
      <c r="B346" s="41"/>
      <c r="C346" s="228"/>
      <c r="D346" s="155"/>
      <c r="E346" s="155"/>
      <c r="F346" s="159" t="s">
        <v>134</v>
      </c>
      <c r="G346" s="43"/>
      <c r="H346" s="347" t="s">
        <v>135</v>
      </c>
      <c r="I346" s="169">
        <f ca="1">IFERROR(__xludf.DUMMYFUNCTION("IMPORTRANGE(""https://docs.google.com/spreadsheets/d/1eHaY18a8A9IcSdp1K8H6x8fbOy06t2VsZHhMHf-1x7Y/edit?usp=sharing"",""แผน!EL30"")"),4)</f>
        <v>4</v>
      </c>
      <c r="J346" s="169">
        <f ca="1">IFERROR(__xludf.DUMMYFUNCTION("IMPORTRANGE(""https://docs.google.com/spreadsheets/d/1awYsYK3VOup2i3Pq_Yjnu8DRu_mYwSBnCR2QPthd0rU/edit?usp=sharing"",""ศูนย์รวม!E30"")"),0)</f>
        <v>0</v>
      </c>
      <c r="K346" s="47">
        <f ca="1">IF(I346&gt;0,J346*100/I346,0)</f>
        <v>0</v>
      </c>
      <c r="L346" s="46"/>
      <c r="M346" s="46"/>
      <c r="N346" s="46"/>
      <c r="O346" s="46"/>
      <c r="P346" s="46"/>
    </row>
    <row r="347" spans="1:16" ht="18.75" x14ac:dyDescent="0.25">
      <c r="A347" s="227"/>
      <c r="B347" s="41"/>
      <c r="C347" s="228"/>
      <c r="D347" s="155"/>
      <c r="E347" s="155"/>
      <c r="F347" s="159" t="s">
        <v>136</v>
      </c>
      <c r="G347" s="43"/>
      <c r="H347" s="347" t="s">
        <v>33</v>
      </c>
      <c r="I347" s="45"/>
      <c r="J347" s="169">
        <f ca="1">IFERROR(__xludf.DUMMYFUNCTION("IMPORTRANGE(""https://docs.google.com/spreadsheets/d/1awYsYK3VOup2i3Pq_Yjnu8DRu_mYwSBnCR2QPthd0rU/edit?usp=sharing"",""ศูนย์ยกเว้นโฉนด!F30"")"),0)</f>
        <v>0</v>
      </c>
      <c r="K347" s="46"/>
      <c r="L347" s="46"/>
      <c r="M347" s="46"/>
      <c r="N347" s="46"/>
      <c r="O347" s="46"/>
      <c r="P347" s="46"/>
    </row>
    <row r="348" spans="1:16" ht="18.75" x14ac:dyDescent="0.25">
      <c r="A348" s="227"/>
      <c r="B348" s="41"/>
      <c r="C348" s="228"/>
      <c r="D348" s="155"/>
      <c r="E348" s="159" t="s">
        <v>137</v>
      </c>
      <c r="F348" s="155"/>
      <c r="G348" s="43"/>
      <c r="H348" s="347" t="s">
        <v>33</v>
      </c>
      <c r="I348" s="45"/>
      <c r="J348" s="169">
        <f ca="1">IFERROR(__xludf.DUMMYFUNCTION("IMPORTRANGE(""https://docs.google.com/spreadsheets/d/1awYsYK3VOup2i3Pq_Yjnu8DRu_mYwSBnCR2QPthd0rU/edit?usp=sharing"",""ศูนย์ยกเว้นโฉนด!G30"")"),0)</f>
        <v>0</v>
      </c>
      <c r="K348" s="46"/>
      <c r="L348" s="46"/>
      <c r="M348" s="46"/>
      <c r="N348" s="46"/>
      <c r="O348" s="46"/>
      <c r="P348" s="46"/>
    </row>
    <row r="349" spans="1:16" ht="18.75" x14ac:dyDescent="0.25">
      <c r="A349" s="227"/>
      <c r="B349" s="41"/>
      <c r="C349" s="228"/>
      <c r="D349" s="149"/>
      <c r="E349" s="159" t="s">
        <v>138</v>
      </c>
      <c r="F349" s="155"/>
      <c r="G349" s="43"/>
      <c r="H349" s="347" t="s">
        <v>33</v>
      </c>
      <c r="I349" s="45"/>
      <c r="J349" s="169">
        <f ca="1">IFERROR(__xludf.DUMMYFUNCTION("IMPORTRANGE(""https://docs.google.com/spreadsheets/d/1awYsYK3VOup2i3Pq_Yjnu8DRu_mYwSBnCR2QPthd0rU/edit?usp=sharing"",""ศูนย์ยกเว้นโฉนด!H30"")"),0)</f>
        <v>0</v>
      </c>
      <c r="K349" s="46"/>
      <c r="L349" s="46"/>
      <c r="M349" s="46"/>
      <c r="N349" s="46"/>
      <c r="O349" s="46"/>
      <c r="P349" s="46"/>
    </row>
    <row r="350" spans="1:16" ht="16.5" x14ac:dyDescent="0.25">
      <c r="A350" s="228"/>
      <c r="B350" s="41"/>
      <c r="C350" s="228"/>
      <c r="D350" s="34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1"/>
      <c r="F350" s="41"/>
      <c r="G350" s="43"/>
      <c r="H350" s="346"/>
      <c r="I350" s="45"/>
      <c r="J350" s="45"/>
      <c r="K350" s="46"/>
      <c r="L350" s="46"/>
      <c r="M350" s="46"/>
      <c r="N350" s="46"/>
      <c r="O350" s="46"/>
      <c r="P350" s="46"/>
    </row>
    <row r="351" spans="1:16" ht="19.5" x14ac:dyDescent="0.3">
      <c r="A351" s="233"/>
      <c r="B351" s="236"/>
      <c r="C351" s="234"/>
      <c r="D351" s="236"/>
      <c r="E351" s="396" t="s">
        <v>139</v>
      </c>
      <c r="F351" s="236"/>
      <c r="G351" s="237"/>
      <c r="H351" s="238" t="s">
        <v>33</v>
      </c>
      <c r="I351" s="239">
        <v>0</v>
      </c>
      <c r="J351" s="239">
        <f ca="1">J352+J353</f>
        <v>797</v>
      </c>
      <c r="K351" s="240">
        <v>0</v>
      </c>
      <c r="L351" s="241"/>
      <c r="M351" s="241"/>
      <c r="N351" s="241"/>
      <c r="O351" s="241"/>
      <c r="P351" s="241"/>
    </row>
    <row r="352" spans="1:16" ht="18.75" x14ac:dyDescent="0.25">
      <c r="A352" s="228"/>
      <c r="B352" s="41"/>
      <c r="C352" s="228"/>
      <c r="D352" s="155"/>
      <c r="E352" s="159" t="s">
        <v>140</v>
      </c>
      <c r="F352" s="41"/>
      <c r="G352" s="43"/>
      <c r="H352" s="142" t="s">
        <v>33</v>
      </c>
      <c r="I352" s="45"/>
      <c r="J352" s="169">
        <f ca="1">IFERROR(__xludf.DUMMYFUNCTION("IMPORTRANGE(""https://docs.google.com/spreadsheets/d/1awYsYK3VOup2i3Pq_Yjnu8DRu_mYwSBnCR2QPthd0rU/edit?usp=sharing"",""โฉนดM3!G30"")"),533)</f>
        <v>533</v>
      </c>
      <c r="K352" s="46"/>
      <c r="L352" s="46"/>
      <c r="M352" s="46"/>
      <c r="N352" s="46"/>
      <c r="O352" s="46"/>
      <c r="P352" s="46"/>
    </row>
    <row r="353" spans="1:16" ht="18.75" x14ac:dyDescent="0.25">
      <c r="A353" s="228"/>
      <c r="B353" s="41"/>
      <c r="C353" s="228"/>
      <c r="D353" s="155"/>
      <c r="E353" s="159" t="s">
        <v>141</v>
      </c>
      <c r="F353" s="41"/>
      <c r="G353" s="43"/>
      <c r="H353" s="142" t="s">
        <v>33</v>
      </c>
      <c r="I353" s="45"/>
      <c r="J353" s="169">
        <f ca="1">IFERROR(__xludf.DUMMYFUNCTION("IMPORTRANGE(""https://docs.google.com/spreadsheets/d/1awYsYK3VOup2i3Pq_Yjnu8DRu_mYwSBnCR2QPthd0rU/edit?usp=sharing"",""โฉนดM3!H30"")"),264)</f>
        <v>264</v>
      </c>
      <c r="K353" s="46"/>
      <c r="L353" s="46"/>
      <c r="M353" s="46"/>
      <c r="N353" s="46"/>
      <c r="O353" s="46"/>
      <c r="P353" s="46"/>
    </row>
    <row r="354" spans="1:16" ht="16.5" x14ac:dyDescent="0.25">
      <c r="A354" s="228"/>
      <c r="B354" s="41"/>
      <c r="C354" s="228"/>
      <c r="D354" s="34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1"/>
      <c r="F354" s="41"/>
      <c r="G354" s="43"/>
      <c r="H354" s="346"/>
      <c r="I354" s="45"/>
      <c r="J354" s="45"/>
      <c r="K354" s="46"/>
      <c r="L354" s="46"/>
      <c r="M354" s="46"/>
      <c r="N354" s="46"/>
      <c r="O354" s="46"/>
      <c r="P354" s="46"/>
    </row>
    <row r="355" spans="1:16" ht="19.5" x14ac:dyDescent="0.3">
      <c r="A355" s="323"/>
      <c r="B355" s="324" t="s">
        <v>142</v>
      </c>
      <c r="C355" s="333"/>
      <c r="D355" s="325"/>
      <c r="E355" s="325"/>
      <c r="F355" s="325"/>
      <c r="G355" s="326"/>
      <c r="H355" s="326"/>
      <c r="I355" s="350"/>
      <c r="J355" s="350"/>
      <c r="K355" s="330"/>
      <c r="L355" s="330"/>
      <c r="M355" s="330"/>
      <c r="N355" s="330"/>
      <c r="O355" s="330"/>
      <c r="P355" s="330"/>
    </row>
    <row r="356" spans="1:16" ht="19.5" x14ac:dyDescent="0.3">
      <c r="A356" s="136"/>
      <c r="B356" s="41"/>
      <c r="C356" s="197" t="s">
        <v>16</v>
      </c>
      <c r="D356" s="397" t="s">
        <v>17</v>
      </c>
      <c r="E356" s="41"/>
      <c r="F356" s="41"/>
      <c r="G356" s="43"/>
      <c r="H356" s="139" t="s">
        <v>12</v>
      </c>
      <c r="I356" s="45"/>
      <c r="J356" s="45"/>
      <c r="K356" s="46"/>
      <c r="L356" s="140">
        <f ca="1">L357+L358</f>
        <v>573900</v>
      </c>
      <c r="M356" s="140">
        <f ca="1">M357+M358</f>
        <v>464900</v>
      </c>
      <c r="N356" s="140">
        <f ca="1">N357+N358</f>
        <v>133323</v>
      </c>
      <c r="O356" s="140">
        <f ca="1">IF(L356&gt;0,N356*100/L356,0)</f>
        <v>23.231050705697857</v>
      </c>
      <c r="P356" s="140">
        <f ca="1">IF(M356&gt;0,N356*100/M356,0)</f>
        <v>28.677780167778018</v>
      </c>
    </row>
    <row r="357" spans="1:16" ht="18.75" hidden="1" x14ac:dyDescent="0.25">
      <c r="A357" s="136"/>
      <c r="B357" s="41"/>
      <c r="C357" s="41"/>
      <c r="D357" s="41"/>
      <c r="E357" s="279" t="s">
        <v>18</v>
      </c>
      <c r="F357" s="41"/>
      <c r="G357" s="43"/>
      <c r="H357" s="141" t="s">
        <v>12</v>
      </c>
      <c r="I357" s="45"/>
      <c r="J357" s="45"/>
      <c r="K357" s="46"/>
      <c r="L357" s="50">
        <f>L360+L363</f>
        <v>0</v>
      </c>
      <c r="M357" s="50">
        <f>M360+M363</f>
        <v>0</v>
      </c>
      <c r="N357" s="50">
        <f>N360+N363</f>
        <v>0</v>
      </c>
      <c r="O357" s="50">
        <f>IF(L357&gt;0,N357*100/L357,0)</f>
        <v>0</v>
      </c>
      <c r="P357" s="50">
        <f>IF(M357&gt;0,N357*100/M357,0)</f>
        <v>0</v>
      </c>
    </row>
    <row r="358" spans="1:16" ht="18.75" x14ac:dyDescent="0.25">
      <c r="A358" s="136"/>
      <c r="B358" s="41"/>
      <c r="C358" s="41"/>
      <c r="D358" s="41"/>
      <c r="E358" s="254" t="s">
        <v>19</v>
      </c>
      <c r="F358" s="41"/>
      <c r="G358" s="43"/>
      <c r="H358" s="142" t="s">
        <v>12</v>
      </c>
      <c r="I358" s="45"/>
      <c r="J358" s="45"/>
      <c r="K358" s="46"/>
      <c r="L358" s="47">
        <f ca="1">L361+L364</f>
        <v>573900</v>
      </c>
      <c r="M358" s="47">
        <f ca="1">M361+M364</f>
        <v>464900</v>
      </c>
      <c r="N358" s="47">
        <f ca="1">N361+N364</f>
        <v>133323</v>
      </c>
      <c r="O358" s="47">
        <f ca="1">IF(L358&gt;0,N358*100/L358,0)</f>
        <v>23.231050705697857</v>
      </c>
      <c r="P358" s="47">
        <f ca="1">IF(M358&gt;0,N358*100/M358,0)</f>
        <v>28.677780167778018</v>
      </c>
    </row>
    <row r="359" spans="1:16" ht="18.75" x14ac:dyDescent="0.25">
      <c r="A359" s="136"/>
      <c r="B359" s="41"/>
      <c r="C359" s="41"/>
      <c r="D359" s="42" t="s">
        <v>20</v>
      </c>
      <c r="E359" s="41"/>
      <c r="F359" s="41"/>
      <c r="G359" s="43"/>
      <c r="H359" s="143" t="s">
        <v>12</v>
      </c>
      <c r="I359" s="144"/>
      <c r="J359" s="144"/>
      <c r="K359" s="145"/>
      <c r="L359" s="47">
        <f ca="1">L360+L361</f>
        <v>573900</v>
      </c>
      <c r="M359" s="47">
        <f ca="1">M360+M361</f>
        <v>464900</v>
      </c>
      <c r="N359" s="47">
        <f ca="1">N360+N361</f>
        <v>133323</v>
      </c>
      <c r="O359" s="47">
        <f ca="1">IF(L359&gt;0,N359*100/L359,0)</f>
        <v>23.231050705697857</v>
      </c>
      <c r="P359" s="47">
        <f ca="1">IF(M359&gt;0,N359*100/M359,0)</f>
        <v>28.677780167778018</v>
      </c>
    </row>
    <row r="360" spans="1:16" ht="18.75" hidden="1" x14ac:dyDescent="0.25">
      <c r="A360" s="136"/>
      <c r="B360" s="41"/>
      <c r="C360" s="41"/>
      <c r="D360" s="41"/>
      <c r="E360" s="279" t="s">
        <v>34</v>
      </c>
      <c r="F360" s="41"/>
      <c r="G360" s="43"/>
      <c r="H360" s="146" t="s">
        <v>12</v>
      </c>
      <c r="I360" s="144"/>
      <c r="J360" s="144"/>
      <c r="K360" s="145"/>
      <c r="L360" s="50">
        <v>0</v>
      </c>
      <c r="M360" s="50">
        <v>0</v>
      </c>
      <c r="N360" s="50">
        <v>0</v>
      </c>
      <c r="O360" s="50">
        <f>IF(L360&gt;0,N360*100/L360,0)</f>
        <v>0</v>
      </c>
      <c r="P360" s="50">
        <f>IF(M360&gt;0,N360*100/M360,0)</f>
        <v>0</v>
      </c>
    </row>
    <row r="361" spans="1:16" ht="18.75" x14ac:dyDescent="0.25">
      <c r="A361" s="136"/>
      <c r="B361" s="41"/>
      <c r="C361" s="41"/>
      <c r="D361" s="41"/>
      <c r="E361" s="254" t="s">
        <v>35</v>
      </c>
      <c r="F361" s="41"/>
      <c r="G361" s="43"/>
      <c r="H361" s="143" t="s">
        <v>12</v>
      </c>
      <c r="I361" s="144"/>
      <c r="J361" s="144"/>
      <c r="K361" s="145"/>
      <c r="L361" s="47">
        <f ca="1">IFERROR(__xludf.DUMMYFUNCTION("IMPORTRANGE(""https://docs.google.com/spreadsheets/d/1-uDff_7J0KD5mKrp0Vvzr7lt3OU09vwQwhkpOPPYv2Y/edit?usp=sharing"",""งบพรบ!FC30"")"),573900)</f>
        <v>573900</v>
      </c>
      <c r="M361" s="47">
        <f ca="1">IFERROR(__xludf.DUMMYFUNCTION("IMPORTRANGE(""https://docs.google.com/spreadsheets/d/1-uDff_7J0KD5mKrp0Vvzr7lt3OU09vwQwhkpOPPYv2Y/edit?usp=sharing"",""งบพรบ!FH30"")"),464900)</f>
        <v>464900</v>
      </c>
      <c r="N361" s="47">
        <f ca="1">IFERROR(__xludf.DUMMYFUNCTION("IMPORTRANGE(""https://docs.google.com/spreadsheets/d/1-uDff_7J0KD5mKrp0Vvzr7lt3OU09vwQwhkpOPPYv2Y/edit?usp=sharing"",""งบพรบ!FJ30"")"),133323)</f>
        <v>133323</v>
      </c>
      <c r="O361" s="47">
        <f ca="1">IF(L361&gt;0,N361*100/L361,0)</f>
        <v>23.231050705697857</v>
      </c>
      <c r="P361" s="47">
        <f ca="1">IF(M361&gt;0,N361*100/M361,0)</f>
        <v>28.677780167778018</v>
      </c>
    </row>
    <row r="362" spans="1:16" ht="18.75" x14ac:dyDescent="0.25">
      <c r="A362" s="136"/>
      <c r="B362" s="41"/>
      <c r="C362" s="41"/>
      <c r="D362" s="42" t="s">
        <v>21</v>
      </c>
      <c r="E362" s="41"/>
      <c r="F362" s="41"/>
      <c r="G362" s="43"/>
      <c r="H362" s="147" t="s">
        <v>12</v>
      </c>
      <c r="I362" s="144"/>
      <c r="J362" s="144"/>
      <c r="K362" s="145"/>
      <c r="L362" s="47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</row>
    <row r="363" spans="1:16" ht="18.75" hidden="1" x14ac:dyDescent="0.25">
      <c r="A363" s="136"/>
      <c r="B363" s="41"/>
      <c r="C363" s="41"/>
      <c r="D363" s="41"/>
      <c r="E363" s="279" t="s">
        <v>18</v>
      </c>
      <c r="F363" s="41"/>
      <c r="G363" s="43"/>
      <c r="H363" s="146" t="s">
        <v>12</v>
      </c>
      <c r="I363" s="144"/>
      <c r="J363" s="144"/>
      <c r="K363" s="145"/>
      <c r="L363" s="50">
        <v>0</v>
      </c>
      <c r="M363" s="50">
        <v>0</v>
      </c>
      <c r="N363" s="50">
        <v>0</v>
      </c>
      <c r="O363" s="50">
        <f>IF(L363&gt;0,N363*100/L363,0)</f>
        <v>0</v>
      </c>
      <c r="P363" s="50">
        <f>IF(M363&gt;0,N363*100/M363,0)</f>
        <v>0</v>
      </c>
    </row>
    <row r="364" spans="1:16" ht="18.75" x14ac:dyDescent="0.25">
      <c r="A364" s="136"/>
      <c r="B364" s="41"/>
      <c r="C364" s="41"/>
      <c r="D364" s="41"/>
      <c r="E364" s="254" t="s">
        <v>19</v>
      </c>
      <c r="F364" s="41"/>
      <c r="G364" s="43"/>
      <c r="H364" s="147" t="s">
        <v>12</v>
      </c>
      <c r="I364" s="144"/>
      <c r="J364" s="144"/>
      <c r="K364" s="145"/>
      <c r="L364" s="47">
        <f ca="1">IFERROR(__xludf.DUMMYFUNCTION("IMPORTRANGE(""https://docs.google.com/spreadsheets/d/1-uDff_7J0KD5mKrp0Vvzr7lt3OU09vwQwhkpOPPYv2Y/edit?usp=sharing"",""งบพรบ!FF30"")"),0)</f>
        <v>0</v>
      </c>
      <c r="M364" s="47">
        <f ca="1">IFERROR(__xludf.DUMMYFUNCTION("IMPORTRANGE(""https://docs.google.com/spreadsheets/d/1-uDff_7J0KD5mKrp0Vvzr7lt3OU09vwQwhkpOPPYv2Y/edit?usp=sharing"",""งบพรบ!FI30"")"),0)</f>
        <v>0</v>
      </c>
      <c r="N364" s="47">
        <f ca="1">IFERROR(__xludf.DUMMYFUNCTION("IMPORTRANGE(""https://docs.google.com/spreadsheets/d/1-uDff_7J0KD5mKrp0Vvzr7lt3OU09vwQwhkpOPPYv2Y/edit?usp=sharing"",""งบพรบ!FK30"")"),0)</f>
        <v>0</v>
      </c>
      <c r="O364" s="47">
        <f ca="1">IF(L364&gt;0,N364*100/L364,0)</f>
        <v>0</v>
      </c>
      <c r="P364" s="47">
        <f ca="1">IF(M364&gt;0,N364*100/M364,0)</f>
        <v>0</v>
      </c>
    </row>
    <row r="365" spans="1:16" ht="19.5" x14ac:dyDescent="0.3">
      <c r="A365" s="233"/>
      <c r="B365" s="234"/>
      <c r="C365" s="236"/>
      <c r="D365" s="396" t="s">
        <v>143</v>
      </c>
      <c r="E365" s="236"/>
      <c r="F365" s="236"/>
      <c r="G365" s="237"/>
      <c r="H365" s="245" t="s">
        <v>33</v>
      </c>
      <c r="I365" s="239">
        <f ca="1">I371</f>
        <v>196</v>
      </c>
      <c r="J365" s="239">
        <f ca="1">J371</f>
        <v>22</v>
      </c>
      <c r="K365" s="240">
        <f ca="1">IF(I365&gt;0,J365*100/I365,0)</f>
        <v>11.224489795918368</v>
      </c>
      <c r="L365" s="241"/>
      <c r="M365" s="241"/>
      <c r="N365" s="241"/>
      <c r="O365" s="241"/>
      <c r="P365" s="241"/>
    </row>
    <row r="366" spans="1:16" ht="19.5" x14ac:dyDescent="0.3">
      <c r="A366" s="148"/>
      <c r="B366" s="149"/>
      <c r="C366" s="197" t="s">
        <v>16</v>
      </c>
      <c r="D366" s="395" t="s">
        <v>36</v>
      </c>
      <c r="E366" s="151"/>
      <c r="F366" s="151"/>
      <c r="G366" s="152"/>
      <c r="H366" s="153"/>
      <c r="I366" s="45"/>
      <c r="J366" s="45"/>
      <c r="K366" s="46"/>
      <c r="L366" s="145"/>
      <c r="M366" s="145"/>
      <c r="N366" s="145"/>
      <c r="O366" s="145"/>
      <c r="P366" s="145"/>
    </row>
    <row r="367" spans="1:16" ht="18.75" x14ac:dyDescent="0.25">
      <c r="A367" s="148"/>
      <c r="B367" s="155"/>
      <c r="C367" s="149"/>
      <c r="D367" s="155"/>
      <c r="E367" s="154" t="s">
        <v>144</v>
      </c>
      <c r="F367" s="155"/>
      <c r="G367" s="153"/>
      <c r="H367" s="164" t="s">
        <v>33</v>
      </c>
      <c r="I367" s="169">
        <v>0</v>
      </c>
      <c r="J367" s="169">
        <f ca="1">IFERROR(__xludf.DUMMYFUNCTION("IMPORTRANGE(""https://docs.google.com/spreadsheets/d/1tdoBKaGub7dwA3U6UFTqxio9LNnvDCQjHKmttSEBsFQ/edit?usp=sharing"",""จัดที่ดิน!AB30"")"),65)</f>
        <v>65</v>
      </c>
      <c r="K367" s="47">
        <f>IF(I367&gt;0,J367*100/I367,0)</f>
        <v>0</v>
      </c>
      <c r="L367" s="145"/>
      <c r="M367" s="145"/>
      <c r="N367" s="145"/>
      <c r="O367" s="145"/>
      <c r="P367" s="145"/>
    </row>
    <row r="368" spans="1:16" ht="18.75" x14ac:dyDescent="0.25">
      <c r="A368" s="148"/>
      <c r="B368" s="155"/>
      <c r="C368" s="149"/>
      <c r="D368" s="155"/>
      <c r="E368" s="155"/>
      <c r="F368" s="155"/>
      <c r="G368" s="153"/>
      <c r="H368" s="164" t="s">
        <v>44</v>
      </c>
      <c r="I368" s="169">
        <f ca="1">IFERROR(__xludf.DUMMYFUNCTION("IMPORTRANGE(""https://docs.google.com/spreadsheets/d/1eHaY18a8A9IcSdp1K8H6x8fbOy06t2VsZHhMHf-1x7Y/edit?usp=sharing"",""แผน!EW30"")"),1620)</f>
        <v>1620</v>
      </c>
      <c r="J368" s="351">
        <f ca="1">IFERROR(__xludf.DUMMYFUNCTION("IMPORTRANGE(""https://docs.google.com/spreadsheets/d/1tdoBKaGub7dwA3U6UFTqxio9LNnvDCQjHKmttSEBsFQ/edit?usp=sharing"",""จัดที่ดิน!AC30"")"),605.01)</f>
        <v>605.01</v>
      </c>
      <c r="K368" s="47">
        <f ca="1">IF(I368&gt;0,J368*100/I368,0)</f>
        <v>37.346296296296295</v>
      </c>
      <c r="L368" s="145"/>
      <c r="M368" s="145"/>
      <c r="N368" s="145"/>
      <c r="O368" s="145"/>
      <c r="P368" s="145"/>
    </row>
    <row r="369" spans="1:16" ht="18.75" x14ac:dyDescent="0.25">
      <c r="A369" s="148"/>
      <c r="B369" s="155"/>
      <c r="C369" s="149"/>
      <c r="D369" s="155"/>
      <c r="E369" s="154" t="s">
        <v>145</v>
      </c>
      <c r="F369" s="155"/>
      <c r="G369" s="153"/>
      <c r="H369" s="251" t="s">
        <v>33</v>
      </c>
      <c r="I369" s="169">
        <f ca="1">IFERROR(__xludf.DUMMYFUNCTION("IMPORTRANGE(""https://docs.google.com/spreadsheets/d/1eHaY18a8A9IcSdp1K8H6x8fbOy06t2VsZHhMHf-1x7Y/edit?usp=sharing"",""แผน!EX30"")"),297)</f>
        <v>297</v>
      </c>
      <c r="J369" s="169">
        <f ca="1">IFERROR(__xludf.DUMMYFUNCTION("IMPORTRANGE(""https://docs.google.com/spreadsheets/d/1tdoBKaGub7dwA3U6UFTqxio9LNnvDCQjHKmttSEBsFQ/edit?usp=sharing"",""จัดที่ดิน!AD30"")"),56)</f>
        <v>56</v>
      </c>
      <c r="K369" s="47">
        <f ca="1">IF(I369&gt;0,J369*100/I369,0)</f>
        <v>18.855218855218855</v>
      </c>
      <c r="L369" s="145"/>
      <c r="M369" s="145"/>
      <c r="N369" s="145"/>
      <c r="O369" s="145"/>
      <c r="P369" s="145"/>
    </row>
    <row r="370" spans="1:16" ht="18.75" x14ac:dyDescent="0.25">
      <c r="A370" s="148"/>
      <c r="B370" s="155"/>
      <c r="C370" s="149"/>
      <c r="D370" s="155"/>
      <c r="E370" s="155"/>
      <c r="F370" s="155"/>
      <c r="G370" s="153"/>
      <c r="H370" s="251" t="s">
        <v>44</v>
      </c>
      <c r="I370" s="169">
        <v>0</v>
      </c>
      <c r="J370" s="351">
        <f ca="1">IFERROR(__xludf.DUMMYFUNCTION("IMPORTRANGE(""https://docs.google.com/spreadsheets/d/1tdoBKaGub7dwA3U6UFTqxio9LNnvDCQjHKmttSEBsFQ/edit?usp=sharing"",""จัดที่ดิน!AE30"")"),771.59)</f>
        <v>771.59</v>
      </c>
      <c r="K370" s="47">
        <f>IF(I370&gt;0,J370*100/I370,0)</f>
        <v>0</v>
      </c>
      <c r="L370" s="145"/>
      <c r="M370" s="145"/>
      <c r="N370" s="145"/>
      <c r="O370" s="145"/>
      <c r="P370" s="145"/>
    </row>
    <row r="371" spans="1:16" ht="18.75" x14ac:dyDescent="0.25">
      <c r="A371" s="148"/>
      <c r="B371" s="155"/>
      <c r="C371" s="149"/>
      <c r="D371" s="155"/>
      <c r="E371" s="154" t="s">
        <v>146</v>
      </c>
      <c r="F371" s="155"/>
      <c r="G371" s="153"/>
      <c r="H371" s="251" t="s">
        <v>33</v>
      </c>
      <c r="I371" s="169">
        <f ca="1">IFERROR(__xludf.DUMMYFUNCTION("IMPORTRANGE(""https://docs.google.com/spreadsheets/d/1eHaY18a8A9IcSdp1K8H6x8fbOy06t2VsZHhMHf-1x7Y/edit?usp=sharing"",""แผน!EY30"")"),196)</f>
        <v>196</v>
      </c>
      <c r="J371" s="169">
        <f ca="1">IFERROR(__xludf.DUMMYFUNCTION("IMPORTRANGE(""https://docs.google.com/spreadsheets/d/1tdoBKaGub7dwA3U6UFTqxio9LNnvDCQjHKmttSEBsFQ/edit?usp=sharing"",""จัดที่ดิน!AF30"")"),22)</f>
        <v>22</v>
      </c>
      <c r="K371" s="47">
        <f ca="1">IF(I371&gt;0,J371*100/I371,0)</f>
        <v>11.224489795918368</v>
      </c>
      <c r="L371" s="145"/>
      <c r="M371" s="145"/>
      <c r="N371" s="145"/>
      <c r="O371" s="145"/>
      <c r="P371" s="145"/>
    </row>
    <row r="372" spans="1:16" ht="18.75" x14ac:dyDescent="0.25">
      <c r="A372" s="148"/>
      <c r="B372" s="155"/>
      <c r="C372" s="149"/>
      <c r="D372" s="155"/>
      <c r="E372" s="155"/>
      <c r="F372" s="155"/>
      <c r="G372" s="153"/>
      <c r="H372" s="251" t="s">
        <v>44</v>
      </c>
      <c r="I372" s="169">
        <v>0</v>
      </c>
      <c r="J372" s="351">
        <f ca="1">IFERROR(__xludf.DUMMYFUNCTION("IMPORTRANGE(""https://docs.google.com/spreadsheets/d/1tdoBKaGub7dwA3U6UFTqxio9LNnvDCQjHKmttSEBsFQ/edit?usp=sharing"",""จัดที่ดิน!AG30"")"),419.93)</f>
        <v>419.93</v>
      </c>
      <c r="K372" s="47">
        <f>IF(I372&gt;0,J372*100/I372,0)</f>
        <v>0</v>
      </c>
      <c r="L372" s="145"/>
      <c r="M372" s="145"/>
      <c r="N372" s="145"/>
      <c r="O372" s="145"/>
      <c r="P372" s="145"/>
    </row>
    <row r="373" spans="1:16" ht="16.5" x14ac:dyDescent="0.25">
      <c r="A373" s="2"/>
      <c r="B373" s="1"/>
      <c r="C373" s="2"/>
      <c r="D373" s="352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4"/>
      <c r="H373" s="54"/>
      <c r="I373" s="56"/>
      <c r="J373" s="56"/>
      <c r="K373" s="57"/>
      <c r="L373" s="57"/>
      <c r="M373" s="57"/>
      <c r="N373" s="57"/>
      <c r="O373" s="57"/>
      <c r="P373" s="57"/>
    </row>
    <row r="374" spans="1:16" ht="19.5" hidden="1" x14ac:dyDescent="0.3">
      <c r="A374" s="353" t="s">
        <v>147</v>
      </c>
      <c r="B374" s="354"/>
      <c r="C374" s="354"/>
      <c r="D374" s="354"/>
      <c r="E374" s="355"/>
      <c r="F374" s="355"/>
      <c r="G374" s="355"/>
      <c r="H374" s="355"/>
      <c r="I374" s="356"/>
      <c r="J374" s="356"/>
      <c r="K374" s="357"/>
      <c r="L374" s="357"/>
      <c r="M374" s="357"/>
      <c r="N374" s="357"/>
      <c r="O374" s="357"/>
      <c r="P374" s="358"/>
    </row>
    <row r="375" spans="1:16" ht="19.5" hidden="1" x14ac:dyDescent="0.3">
      <c r="A375" s="359" t="s">
        <v>148</v>
      </c>
      <c r="B375" s="360"/>
      <c r="C375" s="360"/>
      <c r="D375" s="361"/>
      <c r="E375" s="360"/>
      <c r="F375" s="360"/>
      <c r="G375" s="360"/>
      <c r="H375" s="362"/>
      <c r="I375" s="363"/>
      <c r="J375" s="363"/>
      <c r="K375" s="364"/>
      <c r="L375" s="364"/>
      <c r="M375" s="364"/>
      <c r="N375" s="364"/>
      <c r="O375" s="364"/>
      <c r="P375" s="364"/>
    </row>
    <row r="376" spans="1:16" ht="19.5" hidden="1" x14ac:dyDescent="0.3">
      <c r="A376" s="365"/>
      <c r="B376" s="366" t="s">
        <v>149</v>
      </c>
      <c r="C376" s="367"/>
      <c r="D376" s="368"/>
      <c r="E376" s="368"/>
      <c r="F376" s="368"/>
      <c r="G376" s="369"/>
      <c r="H376" s="370" t="s">
        <v>54</v>
      </c>
      <c r="I376" s="371">
        <f>I388</f>
        <v>0</v>
      </c>
      <c r="J376" s="371">
        <f>J388</f>
        <v>0</v>
      </c>
      <c r="K376" s="372">
        <f>IF(I376&gt;0,J376*100/I376,0)</f>
        <v>0</v>
      </c>
      <c r="L376" s="373"/>
      <c r="M376" s="373"/>
      <c r="N376" s="373"/>
      <c r="O376" s="373"/>
      <c r="P376" s="373"/>
    </row>
    <row r="377" spans="1:16" ht="19.5" hidden="1" x14ac:dyDescent="0.3">
      <c r="A377" s="136"/>
      <c r="B377" s="41"/>
      <c r="C377" s="260" t="s">
        <v>16</v>
      </c>
      <c r="D377" s="261" t="s">
        <v>17</v>
      </c>
      <c r="E377" s="41"/>
      <c r="F377" s="41"/>
      <c r="G377" s="43"/>
      <c r="H377" s="277" t="s">
        <v>12</v>
      </c>
      <c r="I377" s="45"/>
      <c r="J377" s="45"/>
      <c r="K377" s="46"/>
      <c r="L377" s="263">
        <f ca="1">L378+L379</f>
        <v>0</v>
      </c>
      <c r="M377" s="263">
        <f ca="1">M378+M379</f>
        <v>0</v>
      </c>
      <c r="N377" s="263">
        <f ca="1">N378+N379</f>
        <v>0</v>
      </c>
      <c r="O377" s="263">
        <f ca="1">IF(L377&gt;0,N377*100/L377,0)</f>
        <v>0</v>
      </c>
      <c r="P377" s="263">
        <f ca="1">IF(M377&gt;0,N377*100/M377,0)</f>
        <v>0</v>
      </c>
    </row>
    <row r="378" spans="1:16" ht="18.75" hidden="1" x14ac:dyDescent="0.25">
      <c r="A378" s="136"/>
      <c r="B378" s="41"/>
      <c r="C378" s="41"/>
      <c r="D378" s="41"/>
      <c r="E378" s="279" t="s">
        <v>18</v>
      </c>
      <c r="F378" s="41"/>
      <c r="G378" s="43"/>
      <c r="H378" s="141" t="s">
        <v>12</v>
      </c>
      <c r="I378" s="45"/>
      <c r="J378" s="45"/>
      <c r="K378" s="46"/>
      <c r="L378" s="50">
        <f>L381+L384</f>
        <v>0</v>
      </c>
      <c r="M378" s="50">
        <f>M381+M384</f>
        <v>0</v>
      </c>
      <c r="N378" s="50">
        <f>N381+N384</f>
        <v>0</v>
      </c>
      <c r="O378" s="50">
        <f>IF(L378&gt;0,N378*100/L378,0)</f>
        <v>0</v>
      </c>
      <c r="P378" s="50">
        <f>IF(M378&gt;0,N378*100/M378,0)</f>
        <v>0</v>
      </c>
    </row>
    <row r="379" spans="1:16" ht="18.75" hidden="1" x14ac:dyDescent="0.25">
      <c r="A379" s="136"/>
      <c r="B379" s="41"/>
      <c r="C379" s="41"/>
      <c r="D379" s="41"/>
      <c r="E379" s="279" t="s">
        <v>19</v>
      </c>
      <c r="F379" s="41"/>
      <c r="G379" s="43"/>
      <c r="H379" s="141" t="s">
        <v>12</v>
      </c>
      <c r="I379" s="45"/>
      <c r="J379" s="45"/>
      <c r="K379" s="46"/>
      <c r="L379" s="50">
        <f ca="1">L382+L385</f>
        <v>0</v>
      </c>
      <c r="M379" s="50">
        <f ca="1">M382+M385</f>
        <v>0</v>
      </c>
      <c r="N379" s="50">
        <f ca="1">N382+N385</f>
        <v>0</v>
      </c>
      <c r="O379" s="50">
        <f ca="1">IF(L379&gt;0,N379*100/L379,0)</f>
        <v>0</v>
      </c>
      <c r="P379" s="50">
        <f ca="1">IF(M379&gt;0,N379*100/M379,0)</f>
        <v>0</v>
      </c>
    </row>
    <row r="380" spans="1:16" ht="18.75" hidden="1" x14ac:dyDescent="0.25">
      <c r="A380" s="136"/>
      <c r="B380" s="41"/>
      <c r="C380" s="41"/>
      <c r="D380" s="278" t="s">
        <v>20</v>
      </c>
      <c r="E380" s="41"/>
      <c r="F380" s="41"/>
      <c r="G380" s="43"/>
      <c r="H380" s="146" t="s">
        <v>12</v>
      </c>
      <c r="I380" s="144"/>
      <c r="J380" s="144"/>
      <c r="K380" s="145"/>
      <c r="L380" s="50">
        <f ca="1">L381+L382</f>
        <v>0</v>
      </c>
      <c r="M380" s="50">
        <f ca="1">M381+M382</f>
        <v>0</v>
      </c>
      <c r="N380" s="50">
        <f ca="1">N381+N382</f>
        <v>0</v>
      </c>
      <c r="O380" s="50">
        <f ca="1">IF(L380&gt;0,N380*100/L380,0)</f>
        <v>0</v>
      </c>
      <c r="P380" s="50">
        <f ca="1">IF(M380&gt;0,N380*100/M380,0)</f>
        <v>0</v>
      </c>
    </row>
    <row r="381" spans="1:16" ht="18.75" hidden="1" x14ac:dyDescent="0.25">
      <c r="A381" s="136"/>
      <c r="B381" s="41"/>
      <c r="C381" s="41"/>
      <c r="D381" s="41"/>
      <c r="E381" s="279" t="s">
        <v>34</v>
      </c>
      <c r="F381" s="41"/>
      <c r="G381" s="43"/>
      <c r="H381" s="146" t="s">
        <v>12</v>
      </c>
      <c r="I381" s="144"/>
      <c r="J381" s="144"/>
      <c r="K381" s="145"/>
      <c r="L381" s="50">
        <v>0</v>
      </c>
      <c r="M381" s="50">
        <v>0</v>
      </c>
      <c r="N381" s="50">
        <v>0</v>
      </c>
      <c r="O381" s="50">
        <f>IF(L381&gt;0,N381*100/L381,0)</f>
        <v>0</v>
      </c>
      <c r="P381" s="50">
        <f>IF(M381&gt;0,N381*100/M381,0)</f>
        <v>0</v>
      </c>
    </row>
    <row r="382" spans="1:16" ht="18.75" hidden="1" x14ac:dyDescent="0.25">
      <c r="A382" s="136"/>
      <c r="B382" s="41"/>
      <c r="C382" s="41"/>
      <c r="D382" s="41"/>
      <c r="E382" s="279" t="s">
        <v>35</v>
      </c>
      <c r="F382" s="41"/>
      <c r="G382" s="43"/>
      <c r="H382" s="146" t="s">
        <v>12</v>
      </c>
      <c r="I382" s="144"/>
      <c r="J382" s="144"/>
      <c r="K382" s="145"/>
      <c r="L382" s="50">
        <f ca="1">IFERROR(__xludf.DUMMYFUNCTION("IMPORTRANGE(""https://docs.google.com/spreadsheets/d/1-uDff_7J0KD5mKrp0Vvzr7lt3OU09vwQwhkpOPPYv2Y/edit?usp=sharing"",""งบพรบ!FM30"")"),0)</f>
        <v>0</v>
      </c>
      <c r="M382" s="50">
        <f ca="1">IFERROR(__xludf.DUMMYFUNCTION("IMPORTRANGE(""https://docs.google.com/spreadsheets/d/1-uDff_7J0KD5mKrp0Vvzr7lt3OU09vwQwhkpOPPYv2Y/edit?usp=sharing"",""งบพรบ!FR30"")"),0)</f>
        <v>0</v>
      </c>
      <c r="N382" s="50">
        <f ca="1">IFERROR(__xludf.DUMMYFUNCTION("IMPORTRANGE(""https://docs.google.com/spreadsheets/d/1-uDff_7J0KD5mKrp0Vvzr7lt3OU09vwQwhkpOPPYv2Y/edit?usp=sharing"",""งบพรบ!FT30"")"),0)</f>
        <v>0</v>
      </c>
      <c r="O382" s="50">
        <f ca="1">IF(L382&gt;0,N382*100/L382,0)</f>
        <v>0</v>
      </c>
      <c r="P382" s="50">
        <f ca="1">IF(M382&gt;0,N382*100/M382,0)</f>
        <v>0</v>
      </c>
    </row>
    <row r="383" spans="1:16" ht="18.75" hidden="1" x14ac:dyDescent="0.25">
      <c r="A383" s="136"/>
      <c r="B383" s="41"/>
      <c r="C383" s="41"/>
      <c r="D383" s="278" t="s">
        <v>21</v>
      </c>
      <c r="E383" s="41"/>
      <c r="F383" s="41"/>
      <c r="G383" s="43"/>
      <c r="H383" s="199" t="s">
        <v>12</v>
      </c>
      <c r="I383" s="144"/>
      <c r="J383" s="144"/>
      <c r="K383" s="145"/>
      <c r="L383" s="50">
        <f ca="1">L384+L385</f>
        <v>0</v>
      </c>
      <c r="M383" s="50">
        <f ca="1">M384+M385</f>
        <v>0</v>
      </c>
      <c r="N383" s="50">
        <f ca="1">N384+N385</f>
        <v>0</v>
      </c>
      <c r="O383" s="50">
        <f ca="1">IF(L383&gt;0,N383*100/L383,0)</f>
        <v>0</v>
      </c>
      <c r="P383" s="50">
        <f ca="1">IF(M383&gt;0,N383*100/M383,0)</f>
        <v>0</v>
      </c>
    </row>
    <row r="384" spans="1:16" ht="18.75" hidden="1" x14ac:dyDescent="0.25">
      <c r="A384" s="136"/>
      <c r="B384" s="41"/>
      <c r="C384" s="41"/>
      <c r="D384" s="41"/>
      <c r="E384" s="279" t="s">
        <v>18</v>
      </c>
      <c r="F384" s="41"/>
      <c r="G384" s="43"/>
      <c r="H384" s="146" t="s">
        <v>12</v>
      </c>
      <c r="I384" s="144"/>
      <c r="J384" s="144"/>
      <c r="K384" s="145"/>
      <c r="L384" s="50">
        <v>0</v>
      </c>
      <c r="M384" s="50">
        <v>0</v>
      </c>
      <c r="N384" s="50">
        <v>0</v>
      </c>
      <c r="O384" s="50">
        <f>IF(L384&gt;0,N384*100/L384,0)</f>
        <v>0</v>
      </c>
      <c r="P384" s="50">
        <f>IF(M384&gt;0,N384*100/M384,0)</f>
        <v>0</v>
      </c>
    </row>
    <row r="385" spans="1:16" ht="18.75" hidden="1" x14ac:dyDescent="0.25">
      <c r="A385" s="136"/>
      <c r="B385" s="41"/>
      <c r="C385" s="41"/>
      <c r="D385" s="41"/>
      <c r="E385" s="279" t="s">
        <v>19</v>
      </c>
      <c r="F385" s="41"/>
      <c r="G385" s="43"/>
      <c r="H385" s="199" t="s">
        <v>12</v>
      </c>
      <c r="I385" s="144"/>
      <c r="J385" s="144"/>
      <c r="K385" s="145"/>
      <c r="L385" s="50">
        <f ca="1">IFERROR(__xludf.DUMMYFUNCTION("IMPORTRANGE(""https://docs.google.com/spreadsheets/d/1-uDff_7J0KD5mKrp0Vvzr7lt3OU09vwQwhkpOPPYv2Y/edit?usp=sharing"",""งบพรบ!FP30"")"),0)</f>
        <v>0</v>
      </c>
      <c r="M385" s="50">
        <f ca="1">IFERROR(__xludf.DUMMYFUNCTION("IMPORTRANGE(""https://docs.google.com/spreadsheets/d/1-uDff_7J0KD5mKrp0Vvzr7lt3OU09vwQwhkpOPPYv2Y/edit?usp=sharing"",""งบพรบ!FS30"")"),0)</f>
        <v>0</v>
      </c>
      <c r="N385" s="50">
        <f ca="1">IFERROR(__xludf.DUMMYFUNCTION("IMPORTRANGE(""https://docs.google.com/spreadsheets/d/1-uDff_7J0KD5mKrp0Vvzr7lt3OU09vwQwhkpOPPYv2Y/edit?usp=sharing"",""งบพรบ!FU30"")"),0)</f>
        <v>0</v>
      </c>
      <c r="O385" s="50">
        <f ca="1">IF(L385&gt;0,N385*100/L385,0)</f>
        <v>0</v>
      </c>
      <c r="P385" s="50">
        <f ca="1">IF(M385&gt;0,N385*100/M385,0)</f>
        <v>0</v>
      </c>
    </row>
    <row r="386" spans="1:16" ht="19.5" hidden="1" x14ac:dyDescent="0.3">
      <c r="A386" s="148"/>
      <c r="B386" s="149"/>
      <c r="C386" s="260" t="s">
        <v>16</v>
      </c>
      <c r="D386" s="394" t="s">
        <v>36</v>
      </c>
      <c r="E386" s="151"/>
      <c r="F386" s="151"/>
      <c r="G386" s="152"/>
      <c r="H386" s="153"/>
      <c r="I386" s="144"/>
      <c r="J386" s="45"/>
      <c r="K386" s="46"/>
      <c r="L386" s="46"/>
      <c r="M386" s="46"/>
      <c r="N386" s="46"/>
      <c r="O386" s="145"/>
      <c r="P386" s="145"/>
    </row>
    <row r="387" spans="1:16" ht="18.75" hidden="1" x14ac:dyDescent="0.25">
      <c r="A387" s="227"/>
      <c r="B387" s="41"/>
      <c r="C387" s="228"/>
      <c r="D387" s="267" t="s">
        <v>150</v>
      </c>
      <c r="E387" s="149"/>
      <c r="F387" s="41"/>
      <c r="G387" s="43"/>
      <c r="H387" s="232" t="s">
        <v>9</v>
      </c>
      <c r="I387" s="200">
        <v>0</v>
      </c>
      <c r="J387" s="201">
        <v>0</v>
      </c>
      <c r="K387" s="50">
        <f>IF(I387&gt;0,J387*100/I387,0)</f>
        <v>0</v>
      </c>
      <c r="L387" s="46"/>
      <c r="M387" s="46"/>
      <c r="N387" s="46"/>
      <c r="O387" s="46"/>
      <c r="P387" s="46"/>
    </row>
    <row r="388" spans="1:16" ht="18.75" hidden="1" x14ac:dyDescent="0.25">
      <c r="A388" s="374"/>
      <c r="B388" s="1"/>
      <c r="C388" s="2"/>
      <c r="D388" s="375" t="s">
        <v>151</v>
      </c>
      <c r="E388" s="281"/>
      <c r="F388" s="1"/>
      <c r="G388" s="54"/>
      <c r="H388" s="376" t="s">
        <v>54</v>
      </c>
      <c r="I388" s="205">
        <v>0</v>
      </c>
      <c r="J388" s="206">
        <v>0</v>
      </c>
      <c r="K388" s="207">
        <f>IF(I388&gt;0,J388*100/I388,0)</f>
        <v>0</v>
      </c>
      <c r="L388" s="57"/>
      <c r="M388" s="57"/>
      <c r="N388" s="57"/>
      <c r="O388" s="57"/>
      <c r="P388" s="57"/>
    </row>
    <row r="389" spans="1:16" ht="12.75" x14ac:dyDescent="0.2">
      <c r="A389" s="168"/>
      <c r="B389" s="168"/>
      <c r="C389" s="168"/>
      <c r="D389" s="168"/>
      <c r="E389" s="168"/>
      <c r="F389" s="168"/>
      <c r="G389" s="168"/>
      <c r="H389" s="168"/>
      <c r="I389" s="168"/>
      <c r="J389" s="168"/>
      <c r="K389" s="168"/>
      <c r="L389" s="168"/>
      <c r="M389" s="168"/>
      <c r="N389" s="168"/>
      <c r="O389" s="168"/>
      <c r="P389" s="168"/>
    </row>
    <row r="390" spans="1:16" ht="16.5" x14ac:dyDescent="0.25">
      <c r="A390" s="377" t="s">
        <v>152</v>
      </c>
      <c r="B390" s="168"/>
      <c r="C390" s="168"/>
      <c r="D390" s="168"/>
      <c r="E390" s="168"/>
      <c r="F390" s="168"/>
      <c r="G390" s="168"/>
      <c r="H390" s="168"/>
      <c r="I390" s="168"/>
      <c r="J390" s="168"/>
      <c r="K390" s="168"/>
      <c r="L390" s="168"/>
      <c r="M390" s="168"/>
      <c r="N390" s="168"/>
      <c r="O390" s="168"/>
      <c r="P390" s="168"/>
    </row>
    <row r="391" spans="1:16" ht="16.5" x14ac:dyDescent="0.25">
      <c r="A391" s="377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8"/>
      <c r="C391" s="168"/>
      <c r="D391" s="168"/>
      <c r="E391" s="168"/>
      <c r="F391" s="168"/>
      <c r="G391" s="168"/>
      <c r="H391" s="168"/>
      <c r="I391" s="168"/>
      <c r="J391" s="168"/>
      <c r="K391" s="168"/>
      <c r="L391" s="168"/>
      <c r="M391" s="168"/>
      <c r="N391" s="168"/>
      <c r="O391" s="168"/>
      <c r="P391" s="168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ageMargins left="0.23622047244094491" right="0.23622047244094491" top="0.55118110236220474" bottom="0.55118110236220474" header="0.31496062992125984" footer="0.31496062992125984"/>
  <pageSetup paperSize="9" scale="42" orientation="portrait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กำแพงเพชร</vt:lpstr>
      <vt:lpstr>เชียงราย</vt:lpstr>
      <vt:lpstr>เชียงใหม่</vt:lpstr>
      <vt:lpstr>ตาก</vt:lpstr>
      <vt:lpstr>นครสวรรค์</vt:lpstr>
      <vt:lpstr>น่าน</vt:lpstr>
      <vt:lpstr>พะเยา</vt:lpstr>
      <vt:lpstr>พิจิตร</vt:lpstr>
      <vt:lpstr>พิษณุโลก</vt:lpstr>
      <vt:lpstr>เพชรบูรณ์</vt:lpstr>
      <vt:lpstr>แพร่</vt:lpstr>
      <vt:lpstr>แม่ฮ่องสอน</vt:lpstr>
      <vt:lpstr>ลำปาง</vt:lpstr>
      <vt:lpstr>ลำพูน</vt:lpstr>
      <vt:lpstr>สุโขทัย</vt:lpstr>
      <vt:lpstr>อุตรดิตถ์</vt:lpstr>
      <vt:lpstr>อุทัยธานี</vt:lpstr>
      <vt:lpstr>กำแพงเพชร!Print_Titles</vt:lpstr>
      <vt:lpstr>เชียงราย!Print_Titles</vt:lpstr>
      <vt:lpstr>เชียงใหม่!Print_Titles</vt:lpstr>
      <vt:lpstr>ตาก!Print_Titles</vt:lpstr>
      <vt:lpstr>นครสวรรค์!Print_Titles</vt:lpstr>
      <vt:lpstr>น่าน!Print_Titles</vt:lpstr>
      <vt:lpstr>พะเยา!Print_Titles</vt:lpstr>
      <vt:lpstr>พิจิตร!Print_Titles</vt:lpstr>
      <vt:lpstr>พิษณุโลก!Print_Titles</vt:lpstr>
      <vt:lpstr>เพชรบูรณ์!Print_Titles</vt:lpstr>
      <vt:lpstr>แพร่!Print_Titles</vt:lpstr>
      <vt:lpstr>แม่ฮ่องสอน!Print_Titles</vt:lpstr>
      <vt:lpstr>ลำปาง!Print_Titles</vt:lpstr>
      <vt:lpstr>ลำพูน!Print_Titles</vt:lpstr>
      <vt:lpstr>สุโขทัย!Print_Titles</vt:lpstr>
      <vt:lpstr>อุตรดิตถ์!Print_Titles</vt:lpstr>
      <vt:lpstr>อุทัยธานี!Print_Titles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2023-12-26T08:25:52Z</cp:lastPrinted>
  <dcterms:created xsi:type="dcterms:W3CDTF">2023-12-26T08:04:09Z</dcterms:created>
  <dcterms:modified xsi:type="dcterms:W3CDTF">2023-12-26T08:25:57Z</dcterms:modified>
</cp:coreProperties>
</file>